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\\Det-505-05\внешнийдиск\01 ПРАВЛЕНИЯ\ПОСТАНОВЛЕНИЯ\2024\41 13.12.2024\"/>
    </mc:Choice>
  </mc:AlternateContent>
  <xr:revisionPtr revIDLastSave="0" documentId="13_ncr:1_{020F5BF9-DFD3-47C1-8124-7D107BB7DE63}" xr6:coauthVersionLast="45" xr6:coauthVersionMax="45" xr10:uidLastSave="{00000000-0000-0000-0000-000000000000}"/>
  <bookViews>
    <workbookView xWindow="-20520" yWindow="-120" windowWidth="20640" windowHeight="11160" tabRatio="596" firstSheet="2" activeTab="3" xr2:uid="{00000000-000D-0000-FFFF-FFFF00000000}"/>
  </bookViews>
  <sheets>
    <sheet name="ам мо" sheetId="17" state="hidden" r:id="rId1"/>
    <sheet name="проценты" sheetId="16" state="hidden" r:id="rId2"/>
    <sheet name="№1 ИП-ТС" sheetId="7" r:id="rId3"/>
    <sheet name="№2 ИП ТС" sheetId="18" r:id="rId4"/>
    <sheet name="№3 ИП-ТС" sheetId="9" r:id="rId5"/>
    <sheet name="№ 4 ИП ТС" sheetId="19" r:id="rId6"/>
    <sheet name="№5 ИП-ТС" sheetId="11" r:id="rId7"/>
    <sheet name="Лист2" sheetId="13" state="hidden" r:id="rId8"/>
    <sheet name="Лист3" sheetId="14" state="hidden" r:id="rId9"/>
  </sheets>
  <definedNames>
    <definedName name="_xlnm.Print_Titles" localSheetId="5">'№ 4 ИП ТС'!$A:$A,'№ 4 ИП ТС'!$14:$14</definedName>
    <definedName name="_xlnm.Print_Titles" localSheetId="3">'№2 ИП ТС'!$A:$A,'№2 ИП ТС'!$14:$14</definedName>
    <definedName name="_xlnm.Print_Titles" localSheetId="6">'№5 ИП-ТС'!$A:$A,'№5 ИП-ТС'!$11:$11</definedName>
    <definedName name="_xlnm.Print_Area" localSheetId="5">'№ 4 ИП ТС'!$A$1:$CH$29</definedName>
    <definedName name="_xlnm.Print_Area" localSheetId="2">'№1 ИП-ТС'!$A$1:$B$23</definedName>
    <definedName name="_xlnm.Print_Area" localSheetId="4">'№3 ИП-ТС'!$A$1:$L$62</definedName>
    <definedName name="_xlnm.Print_Area" localSheetId="6">'№5 ИП-ТС'!$A$1:$X$86</definedName>
  </definedName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X1" i="11" l="1"/>
  <c r="CH1" i="19"/>
  <c r="AO1" i="18"/>
  <c r="AK1" i="18"/>
  <c r="Q2" i="18"/>
  <c r="G59" i="11" l="1"/>
  <c r="G24" i="11"/>
  <c r="L2" i="9" l="1"/>
  <c r="AK2" i="18"/>
  <c r="AO2" i="18" s="1"/>
  <c r="L36" i="9" l="1"/>
  <c r="AY2" i="19"/>
  <c r="CH2" i="19"/>
  <c r="I76" i="11"/>
  <c r="J76" i="11" s="1"/>
  <c r="K76" i="11" s="1"/>
  <c r="L76" i="11" s="1"/>
  <c r="M76" i="11" s="1"/>
  <c r="N76" i="11" s="1"/>
  <c r="O76" i="11" s="1"/>
  <c r="P76" i="11" s="1"/>
  <c r="Q76" i="11" s="1"/>
  <c r="R76" i="11" s="1"/>
  <c r="S76" i="11" s="1"/>
  <c r="T76" i="11" s="1"/>
  <c r="U76" i="11" s="1"/>
  <c r="V76" i="11" s="1"/>
  <c r="W76" i="11" s="1"/>
  <c r="X76" i="11" s="1"/>
  <c r="C76" i="11"/>
  <c r="B76" i="11"/>
  <c r="A76" i="11"/>
  <c r="H74" i="11"/>
  <c r="I56" i="11"/>
  <c r="J56" i="11" s="1"/>
  <c r="K56" i="11" s="1"/>
  <c r="L56" i="11" s="1"/>
  <c r="M56" i="11" s="1"/>
  <c r="N56" i="11" s="1"/>
  <c r="O56" i="11" s="1"/>
  <c r="P56" i="11" s="1"/>
  <c r="Q56" i="11" s="1"/>
  <c r="R56" i="11" s="1"/>
  <c r="S56" i="11" s="1"/>
  <c r="T56" i="11" s="1"/>
  <c r="U56" i="11" s="1"/>
  <c r="V56" i="11" s="1"/>
  <c r="W56" i="11" s="1"/>
  <c r="X56" i="11" s="1"/>
  <c r="C56" i="11"/>
  <c r="B56" i="11"/>
  <c r="A56" i="11"/>
  <c r="H54" i="11"/>
  <c r="I54" i="11" s="1"/>
  <c r="J54" i="11" s="1"/>
  <c r="K54" i="11" s="1"/>
  <c r="L54" i="11" s="1"/>
  <c r="M54" i="11" s="1"/>
  <c r="N54" i="11" s="1"/>
  <c r="O54" i="11" s="1"/>
  <c r="P54" i="11" s="1"/>
  <c r="Q54" i="11" s="1"/>
  <c r="R54" i="11" s="1"/>
  <c r="S54" i="11" s="1"/>
  <c r="T54" i="11" s="1"/>
  <c r="U54" i="11" s="1"/>
  <c r="V54" i="11" s="1"/>
  <c r="W54" i="11" s="1"/>
  <c r="A38" i="11"/>
  <c r="I37" i="11"/>
  <c r="J37" i="11" s="1"/>
  <c r="K37" i="11" s="1"/>
  <c r="L37" i="11" s="1"/>
  <c r="M37" i="11" s="1"/>
  <c r="N37" i="11" s="1"/>
  <c r="O37" i="11" s="1"/>
  <c r="P37" i="11" s="1"/>
  <c r="Q37" i="11" s="1"/>
  <c r="R37" i="11" s="1"/>
  <c r="S37" i="11" s="1"/>
  <c r="T37" i="11" s="1"/>
  <c r="U37" i="11" s="1"/>
  <c r="V37" i="11" s="1"/>
  <c r="W37" i="11" s="1"/>
  <c r="X37" i="11" s="1"/>
  <c r="C37" i="11"/>
  <c r="B37" i="11"/>
  <c r="A37" i="11"/>
  <c r="H35" i="11"/>
  <c r="F42" i="9"/>
  <c r="G42" i="9" s="1"/>
  <c r="H42" i="9" s="1"/>
  <c r="I42" i="9" s="1"/>
  <c r="J42" i="9" s="1"/>
  <c r="K42" i="9" s="1"/>
  <c r="L42" i="9" s="1"/>
  <c r="G41" i="9"/>
  <c r="H41" i="9" s="1"/>
  <c r="I41" i="9" s="1"/>
  <c r="J41" i="9" s="1"/>
  <c r="K41" i="9" s="1"/>
  <c r="S49" i="18"/>
  <c r="X2" i="11" l="1"/>
  <c r="X32" i="11" s="1"/>
  <c r="X24" i="11" s="1"/>
  <c r="P2" i="11"/>
  <c r="I74" i="11"/>
  <c r="H59" i="11"/>
  <c r="I35" i="11"/>
  <c r="H24" i="11"/>
  <c r="AB48" i="18"/>
  <c r="Z45" i="18"/>
  <c r="Z46" i="18"/>
  <c r="Z42" i="18"/>
  <c r="Z43" i="18"/>
  <c r="Z44" i="18"/>
  <c r="Z39" i="18"/>
  <c r="Z40" i="18"/>
  <c r="Z41" i="18"/>
  <c r="Z36" i="18"/>
  <c r="Z37" i="18"/>
  <c r="Z38" i="18"/>
  <c r="T36" i="18"/>
  <c r="Z35" i="18"/>
  <c r="T48" i="18"/>
  <c r="T37" i="18"/>
  <c r="T38" i="18"/>
  <c r="T39" i="18"/>
  <c r="T40" i="18"/>
  <c r="T41" i="18"/>
  <c r="T42" i="18"/>
  <c r="T43" i="18"/>
  <c r="T44" i="18"/>
  <c r="T45" i="18"/>
  <c r="T46" i="18"/>
  <c r="T35" i="18"/>
  <c r="X71" i="11" l="1"/>
  <c r="X51" i="11"/>
  <c r="J35" i="11"/>
  <c r="I24" i="11"/>
  <c r="J74" i="11"/>
  <c r="I59" i="11"/>
  <c r="C27" i="11"/>
  <c r="C62" i="11" s="1"/>
  <c r="C29" i="11"/>
  <c r="C64" i="11" s="1"/>
  <c r="C25" i="11"/>
  <c r="C60" i="11" s="1"/>
  <c r="C30" i="11"/>
  <c r="C45" i="11"/>
  <c r="C44" i="11"/>
  <c r="C43" i="11"/>
  <c r="C42" i="11"/>
  <c r="C41" i="11"/>
  <c r="C40" i="11"/>
  <c r="C39" i="11"/>
  <c r="C28" i="11"/>
  <c r="C26" i="11"/>
  <c r="K74" i="11" l="1"/>
  <c r="K35" i="11"/>
  <c r="C67" i="11"/>
  <c r="J40" i="11"/>
  <c r="E40" i="11"/>
  <c r="C69" i="11"/>
  <c r="J42" i="11"/>
  <c r="E42" i="11"/>
  <c r="C79" i="11"/>
  <c r="J44" i="11"/>
  <c r="E44" i="11"/>
  <c r="C65" i="11"/>
  <c r="J30" i="11"/>
  <c r="E30" i="11"/>
  <c r="C61" i="11"/>
  <c r="J26" i="11"/>
  <c r="E26" i="11"/>
  <c r="C63" i="11"/>
  <c r="J28" i="11"/>
  <c r="E28" i="11"/>
  <c r="C66" i="11"/>
  <c r="J39" i="11"/>
  <c r="E39" i="11"/>
  <c r="C68" i="11"/>
  <c r="J41" i="11"/>
  <c r="E41" i="11"/>
  <c r="C78" i="11"/>
  <c r="J43" i="11"/>
  <c r="E43" i="11"/>
  <c r="D45" i="11"/>
  <c r="C80" i="11"/>
  <c r="L45" i="11"/>
  <c r="E25" i="11"/>
  <c r="E29" i="11"/>
  <c r="E27" i="11"/>
  <c r="J25" i="11"/>
  <c r="J24" i="11" s="1"/>
  <c r="J29" i="11"/>
  <c r="J27" i="11"/>
  <c r="E32" i="17"/>
  <c r="F32" i="17" s="1"/>
  <c r="G32" i="17" s="1"/>
  <c r="H32" i="17" s="1"/>
  <c r="I32" i="17" s="1"/>
  <c r="J32" i="17" s="1"/>
  <c r="K32" i="17" s="1"/>
  <c r="L32" i="17" s="1"/>
  <c r="M32" i="17" s="1"/>
  <c r="N32" i="17" s="1"/>
  <c r="O32" i="17" s="1"/>
  <c r="P32" i="17" s="1"/>
  <c r="Q32" i="17" s="1"/>
  <c r="R32" i="17" s="1"/>
  <c r="S32" i="17" s="1"/>
  <c r="T32" i="17" s="1"/>
  <c r="L35" i="11" l="1"/>
  <c r="K24" i="11"/>
  <c r="L74" i="11"/>
  <c r="AM21" i="19"/>
  <c r="G45" i="9"/>
  <c r="H45" i="9"/>
  <c r="I45" i="9"/>
  <c r="J45" i="9"/>
  <c r="K45" i="9"/>
  <c r="L45" i="9"/>
  <c r="F45" i="9"/>
  <c r="I4" i="13"/>
  <c r="I5" i="13"/>
  <c r="I6" i="13"/>
  <c r="I7" i="13"/>
  <c r="I8" i="13"/>
  <c r="I9" i="13"/>
  <c r="I10" i="13"/>
  <c r="I11" i="13"/>
  <c r="I12" i="13"/>
  <c r="I13" i="13"/>
  <c r="I14" i="13"/>
  <c r="I3" i="13"/>
  <c r="H16" i="13"/>
  <c r="H17" i="13" s="1"/>
  <c r="I17" i="13" s="1"/>
  <c r="BL17" i="19"/>
  <c r="BM17" i="19"/>
  <c r="AO17" i="19" s="1"/>
  <c r="BN17" i="19"/>
  <c r="AP17" i="19" s="1"/>
  <c r="BO17" i="19"/>
  <c r="BP17" i="19"/>
  <c r="BQ17" i="19"/>
  <c r="AS17" i="19" s="1"/>
  <c r="BR17" i="19"/>
  <c r="AT17" i="19" s="1"/>
  <c r="BS17" i="19"/>
  <c r="AU17" i="19" s="1"/>
  <c r="BT17" i="19"/>
  <c r="BU17" i="19"/>
  <c r="AW17" i="19" s="1"/>
  <c r="BV17" i="19"/>
  <c r="AX17" i="19" s="1"/>
  <c r="BK17" i="19"/>
  <c r="AN17" i="19"/>
  <c r="AQ17" i="19"/>
  <c r="AR17" i="19"/>
  <c r="AV17" i="19"/>
  <c r="AM17" i="19"/>
  <c r="AN16" i="19"/>
  <c r="AO16" i="19"/>
  <c r="AP16" i="19"/>
  <c r="AQ16" i="19"/>
  <c r="AR16" i="19"/>
  <c r="AS16" i="19"/>
  <c r="AT16" i="19"/>
  <c r="AU16" i="19"/>
  <c r="AV16" i="19"/>
  <c r="AW16" i="19"/>
  <c r="AX16" i="19"/>
  <c r="AY16" i="19"/>
  <c r="AZ16" i="19"/>
  <c r="BA16" i="19"/>
  <c r="BB16" i="19"/>
  <c r="BC16" i="19"/>
  <c r="BD16" i="19"/>
  <c r="BE16" i="19"/>
  <c r="BF16" i="19"/>
  <c r="BG16" i="19"/>
  <c r="BH16" i="19"/>
  <c r="BI16" i="19"/>
  <c r="BJ16" i="19"/>
  <c r="AN18" i="19"/>
  <c r="AO18" i="19"/>
  <c r="AP18" i="19"/>
  <c r="AQ18" i="19"/>
  <c r="AR18" i="19"/>
  <c r="AS18" i="19"/>
  <c r="AT18" i="19"/>
  <c r="AU18" i="19"/>
  <c r="AV18" i="19"/>
  <c r="AW18" i="19"/>
  <c r="AX18" i="19"/>
  <c r="AY18" i="19"/>
  <c r="AN19" i="19"/>
  <c r="AO19" i="19"/>
  <c r="AP19" i="19"/>
  <c r="AQ19" i="19"/>
  <c r="AR19" i="19"/>
  <c r="AS19" i="19"/>
  <c r="AT19" i="19"/>
  <c r="AU19" i="19"/>
  <c r="AV19" i="19"/>
  <c r="AW19" i="19"/>
  <c r="AX19" i="19"/>
  <c r="AY19" i="19"/>
  <c r="AN20" i="19"/>
  <c r="AO20" i="19"/>
  <c r="AP20" i="19"/>
  <c r="AQ20" i="19"/>
  <c r="AR20" i="19"/>
  <c r="AS20" i="19"/>
  <c r="AT20" i="19"/>
  <c r="AU20" i="19"/>
  <c r="AV20" i="19"/>
  <c r="AW20" i="19"/>
  <c r="AX20" i="19"/>
  <c r="AY20" i="19"/>
  <c r="AN21" i="19"/>
  <c r="AO21" i="19"/>
  <c r="AP21" i="19"/>
  <c r="AQ21" i="19"/>
  <c r="AR21" i="19"/>
  <c r="AS21" i="19"/>
  <c r="AT21" i="19"/>
  <c r="AU21" i="19"/>
  <c r="AV21" i="19"/>
  <c r="AW21" i="19"/>
  <c r="AX21" i="19"/>
  <c r="AY21" i="19"/>
  <c r="AN22" i="19"/>
  <c r="AO22" i="19"/>
  <c r="AP22" i="19"/>
  <c r="AQ22" i="19"/>
  <c r="AR22" i="19"/>
  <c r="AS22" i="19"/>
  <c r="AT22" i="19"/>
  <c r="AU22" i="19"/>
  <c r="AV22" i="19"/>
  <c r="AW22" i="19"/>
  <c r="AX22" i="19"/>
  <c r="AY22" i="19"/>
  <c r="AN23" i="19"/>
  <c r="AO23" i="19"/>
  <c r="AP23" i="19"/>
  <c r="AQ23" i="19"/>
  <c r="AR23" i="19"/>
  <c r="AS23" i="19"/>
  <c r="AT23" i="19"/>
  <c r="AU23" i="19"/>
  <c r="AV23" i="19"/>
  <c r="AW23" i="19"/>
  <c r="AX23" i="19"/>
  <c r="AY23" i="19"/>
  <c r="AN24" i="19"/>
  <c r="AO24" i="19"/>
  <c r="AP24" i="19"/>
  <c r="AQ24" i="19"/>
  <c r="AR24" i="19"/>
  <c r="AS24" i="19"/>
  <c r="AT24" i="19"/>
  <c r="AU24" i="19"/>
  <c r="AV24" i="19"/>
  <c r="AW24" i="19"/>
  <c r="AX24" i="19"/>
  <c r="AY24" i="19"/>
  <c r="AN25" i="19"/>
  <c r="AO25" i="19"/>
  <c r="AP25" i="19"/>
  <c r="AQ25" i="19"/>
  <c r="AR25" i="19"/>
  <c r="AS25" i="19"/>
  <c r="AT25" i="19"/>
  <c r="AU25" i="19"/>
  <c r="AV25" i="19"/>
  <c r="AW25" i="19"/>
  <c r="AX25" i="19"/>
  <c r="AY25" i="19"/>
  <c r="AN26" i="19"/>
  <c r="AO26" i="19"/>
  <c r="AP26" i="19"/>
  <c r="AQ26" i="19"/>
  <c r="AR26" i="19"/>
  <c r="AS26" i="19"/>
  <c r="AT26" i="19"/>
  <c r="AU26" i="19"/>
  <c r="AV26" i="19"/>
  <c r="AW26" i="19"/>
  <c r="AX26" i="19"/>
  <c r="AY26" i="19"/>
  <c r="AN27" i="19"/>
  <c r="AO27" i="19"/>
  <c r="AP27" i="19"/>
  <c r="AQ27" i="19"/>
  <c r="AR27" i="19"/>
  <c r="AS27" i="19"/>
  <c r="AT27" i="19"/>
  <c r="AU27" i="19"/>
  <c r="AV27" i="19"/>
  <c r="AW27" i="19"/>
  <c r="AX27" i="19"/>
  <c r="AY27" i="19"/>
  <c r="AN28" i="19"/>
  <c r="AO28" i="19"/>
  <c r="AP28" i="19"/>
  <c r="AQ28" i="19"/>
  <c r="AR28" i="19"/>
  <c r="AS28" i="19"/>
  <c r="AT28" i="19"/>
  <c r="AU28" i="19"/>
  <c r="AV28" i="19"/>
  <c r="AW28" i="19"/>
  <c r="AX28" i="19"/>
  <c r="AY28" i="19"/>
  <c r="AN29" i="19"/>
  <c r="AO29" i="19"/>
  <c r="AP29" i="19"/>
  <c r="AQ29" i="19"/>
  <c r="AR29" i="19"/>
  <c r="AS29" i="19"/>
  <c r="AT29" i="19"/>
  <c r="AU29" i="19"/>
  <c r="AV29" i="19"/>
  <c r="AW29" i="19"/>
  <c r="AX29" i="19"/>
  <c r="AY29" i="19"/>
  <c r="AM29" i="19"/>
  <c r="AM28" i="19"/>
  <c r="AM27" i="19"/>
  <c r="AM26" i="19"/>
  <c r="AM25" i="19"/>
  <c r="AM24" i="19"/>
  <c r="AM23" i="19"/>
  <c r="AM22" i="19"/>
  <c r="AM20" i="19"/>
  <c r="AM19" i="19"/>
  <c r="AM18" i="19"/>
  <c r="AM16" i="19"/>
  <c r="Z13" i="19"/>
  <c r="AL13" i="19" s="1"/>
  <c r="AX13" i="19" s="1"/>
  <c r="BJ13" i="19" s="1"/>
  <c r="BV13" i="19" s="1"/>
  <c r="CH13" i="19" s="1"/>
  <c r="E13" i="19"/>
  <c r="Q13" i="19" s="1"/>
  <c r="AC13" i="19" s="1"/>
  <c r="AO13" i="19" s="1"/>
  <c r="BA13" i="19" s="1"/>
  <c r="BM13" i="19" s="1"/>
  <c r="BY13" i="19" s="1"/>
  <c r="B14" i="19"/>
  <c r="C14" i="19" s="1"/>
  <c r="D14" i="19" s="1"/>
  <c r="E14" i="19" s="1"/>
  <c r="F14" i="19" s="1"/>
  <c r="G14" i="19" s="1"/>
  <c r="H14" i="19" s="1"/>
  <c r="I14" i="19" s="1"/>
  <c r="J14" i="19" s="1"/>
  <c r="K14" i="19" s="1"/>
  <c r="L14" i="19" s="1"/>
  <c r="M14" i="19" s="1"/>
  <c r="N14" i="19" s="1"/>
  <c r="O14" i="19" s="1"/>
  <c r="P14" i="19" s="1"/>
  <c r="Q14" i="19" s="1"/>
  <c r="R14" i="19" s="1"/>
  <c r="S14" i="19" s="1"/>
  <c r="T14" i="19" s="1"/>
  <c r="U14" i="19" s="1"/>
  <c r="V14" i="19" s="1"/>
  <c r="W14" i="19" s="1"/>
  <c r="X14" i="19" s="1"/>
  <c r="Y14" i="19" s="1"/>
  <c r="Z14" i="19" s="1"/>
  <c r="AA14" i="19" s="1"/>
  <c r="AB14" i="19" s="1"/>
  <c r="AC14" i="19" s="1"/>
  <c r="AD14" i="19" s="1"/>
  <c r="AE14" i="19" s="1"/>
  <c r="AF14" i="19" s="1"/>
  <c r="AG14" i="19" s="1"/>
  <c r="AH14" i="19" s="1"/>
  <c r="AI14" i="19" s="1"/>
  <c r="AJ14" i="19" s="1"/>
  <c r="AK14" i="19" s="1"/>
  <c r="AL14" i="19" s="1"/>
  <c r="AM14" i="19" s="1"/>
  <c r="AN14" i="19" s="1"/>
  <c r="AO14" i="19" s="1"/>
  <c r="AP14" i="19" s="1"/>
  <c r="AQ14" i="19" s="1"/>
  <c r="AR14" i="19" s="1"/>
  <c r="AS14" i="19" s="1"/>
  <c r="AT14" i="19" s="1"/>
  <c r="AU14" i="19" s="1"/>
  <c r="AV14" i="19" s="1"/>
  <c r="AW14" i="19" s="1"/>
  <c r="AX14" i="19" s="1"/>
  <c r="AY14" i="19" s="1"/>
  <c r="AZ14" i="19" s="1"/>
  <c r="BA14" i="19" s="1"/>
  <c r="BB14" i="19" s="1"/>
  <c r="BC14" i="19" s="1"/>
  <c r="BD14" i="19" s="1"/>
  <c r="BE14" i="19" s="1"/>
  <c r="BF14" i="19" s="1"/>
  <c r="BG14" i="19" s="1"/>
  <c r="BH14" i="19" s="1"/>
  <c r="BI14" i="19" s="1"/>
  <c r="BJ14" i="19" s="1"/>
  <c r="BK14" i="19" s="1"/>
  <c r="BL14" i="19" s="1"/>
  <c r="BM14" i="19" s="1"/>
  <c r="BN14" i="19" s="1"/>
  <c r="BO14" i="19" s="1"/>
  <c r="BP14" i="19" s="1"/>
  <c r="BQ14" i="19" s="1"/>
  <c r="BR14" i="19" s="1"/>
  <c r="BS14" i="19" s="1"/>
  <c r="BT14" i="19" s="1"/>
  <c r="BU14" i="19" s="1"/>
  <c r="BV14" i="19" s="1"/>
  <c r="BW14" i="19" s="1"/>
  <c r="BX14" i="19" s="1"/>
  <c r="BY14" i="19" s="1"/>
  <c r="BZ14" i="19" s="1"/>
  <c r="CA14" i="19" s="1"/>
  <c r="CB14" i="19" s="1"/>
  <c r="CC14" i="19" s="1"/>
  <c r="CD14" i="19" s="1"/>
  <c r="CE14" i="19" s="1"/>
  <c r="CF14" i="19" s="1"/>
  <c r="CG14" i="19" s="1"/>
  <c r="CH14" i="19" s="1"/>
  <c r="P13" i="19"/>
  <c r="AB13" i="19" s="1"/>
  <c r="AN13" i="19" s="1"/>
  <c r="AZ13" i="19" s="1"/>
  <c r="BL13" i="19" s="1"/>
  <c r="BX13" i="19" s="1"/>
  <c r="BL12" i="19"/>
  <c r="G21" i="9"/>
  <c r="H21" i="9"/>
  <c r="I21" i="9"/>
  <c r="J21" i="9"/>
  <c r="K21" i="9"/>
  <c r="L21" i="9"/>
  <c r="F21" i="9"/>
  <c r="AO49" i="18"/>
  <c r="AO66" i="18" s="1"/>
  <c r="AN49" i="18"/>
  <c r="AN66" i="18" s="1"/>
  <c r="AK49" i="18"/>
  <c r="AK66" i="18" s="1"/>
  <c r="AJ49" i="18"/>
  <c r="AJ66" i="18" s="1"/>
  <c r="AI49" i="18"/>
  <c r="AI66" i="18" s="1"/>
  <c r="AH49" i="18"/>
  <c r="AH66" i="18" s="1"/>
  <c r="AG49" i="18"/>
  <c r="AG66" i="18" s="1"/>
  <c r="AF49" i="18"/>
  <c r="AF66" i="18" s="1"/>
  <c r="AE49" i="18"/>
  <c r="AE66" i="18" s="1"/>
  <c r="AD49" i="18"/>
  <c r="AD66" i="18" s="1"/>
  <c r="AC49" i="18"/>
  <c r="AC66" i="18" s="1"/>
  <c r="AA49" i="18"/>
  <c r="AA66" i="18" s="1"/>
  <c r="Y49" i="18"/>
  <c r="Y66" i="18" s="1"/>
  <c r="X49" i="18"/>
  <c r="X66" i="18" s="1"/>
  <c r="W49" i="18"/>
  <c r="W66" i="18" s="1"/>
  <c r="V49" i="18"/>
  <c r="V66" i="18" s="1"/>
  <c r="U49" i="18"/>
  <c r="U66" i="18" s="1"/>
  <c r="S66" i="18"/>
  <c r="R49" i="18"/>
  <c r="R66" i="18" s="1"/>
  <c r="AL48" i="18"/>
  <c r="AL46" i="18"/>
  <c r="AM46" i="18"/>
  <c r="AM45" i="18"/>
  <c r="AM44" i="18"/>
  <c r="AL43" i="18"/>
  <c r="AM43" i="18"/>
  <c r="AL42" i="18"/>
  <c r="AM42" i="18"/>
  <c r="AL41" i="18"/>
  <c r="AM41" i="18"/>
  <c r="AL40" i="18"/>
  <c r="AM40" i="18"/>
  <c r="AL39" i="18"/>
  <c r="AM39" i="18"/>
  <c r="AL38" i="18"/>
  <c r="AM38" i="18"/>
  <c r="AL37" i="18"/>
  <c r="AM37" i="18"/>
  <c r="AL36" i="18"/>
  <c r="AM36" i="18"/>
  <c r="AL35" i="18"/>
  <c r="E85" i="11"/>
  <c r="C85" i="11"/>
  <c r="E84" i="11"/>
  <c r="C84" i="11"/>
  <c r="F83" i="11"/>
  <c r="E83" i="11"/>
  <c r="C83" i="11"/>
  <c r="F82" i="11"/>
  <c r="E82" i="11"/>
  <c r="C82" i="11"/>
  <c r="F81" i="11"/>
  <c r="C81" i="11"/>
  <c r="L80" i="11"/>
  <c r="M80" i="11" s="1"/>
  <c r="N80" i="11" s="1"/>
  <c r="O80" i="11" s="1"/>
  <c r="P80" i="11" s="1"/>
  <c r="Q80" i="11" s="1"/>
  <c r="R80" i="11" s="1"/>
  <c r="S80" i="11" s="1"/>
  <c r="T80" i="11" s="1"/>
  <c r="U80" i="11" s="1"/>
  <c r="J79" i="11"/>
  <c r="K79" i="11" s="1"/>
  <c r="L79" i="11" s="1"/>
  <c r="M79" i="11" s="1"/>
  <c r="N79" i="11" s="1"/>
  <c r="O79" i="11" s="1"/>
  <c r="P79" i="11" s="1"/>
  <c r="Q79" i="11" s="1"/>
  <c r="R79" i="11" s="1"/>
  <c r="S79" i="11" s="1"/>
  <c r="T79" i="11" s="1"/>
  <c r="J78" i="11"/>
  <c r="J69" i="11"/>
  <c r="K69" i="11" s="1"/>
  <c r="L69" i="11" s="1"/>
  <c r="J68" i="11"/>
  <c r="K68" i="11" s="1"/>
  <c r="L68" i="11" s="1"/>
  <c r="M68" i="11" s="1"/>
  <c r="N68" i="11" s="1"/>
  <c r="O68" i="11" s="1"/>
  <c r="P68" i="11" s="1"/>
  <c r="Q68" i="11" s="1"/>
  <c r="R68" i="11" s="1"/>
  <c r="S68" i="11" s="1"/>
  <c r="T68" i="11" s="1"/>
  <c r="J67" i="11"/>
  <c r="K67" i="11" s="1"/>
  <c r="L67" i="11" s="1"/>
  <c r="J66" i="11"/>
  <c r="J65" i="11"/>
  <c r="K65" i="11" s="1"/>
  <c r="L65" i="11" s="1"/>
  <c r="J64" i="11"/>
  <c r="K64" i="11" s="1"/>
  <c r="L64" i="11" s="1"/>
  <c r="M64" i="11" s="1"/>
  <c r="N64" i="11" s="1"/>
  <c r="O64" i="11" s="1"/>
  <c r="P64" i="11" s="1"/>
  <c r="Q64" i="11" s="1"/>
  <c r="R64" i="11" s="1"/>
  <c r="S64" i="11" s="1"/>
  <c r="T64" i="11" s="1"/>
  <c r="J63" i="11"/>
  <c r="K63" i="11" s="1"/>
  <c r="L63" i="11" s="1"/>
  <c r="J62" i="11"/>
  <c r="J61" i="11"/>
  <c r="K61" i="11" s="1"/>
  <c r="L61" i="11" s="1"/>
  <c r="J60" i="11"/>
  <c r="I58" i="11"/>
  <c r="I86" i="11" s="1"/>
  <c r="H58" i="11"/>
  <c r="H86" i="11" s="1"/>
  <c r="G58" i="11"/>
  <c r="G86" i="11" s="1"/>
  <c r="F48" i="11"/>
  <c r="E48" i="11"/>
  <c r="C48" i="11"/>
  <c r="F47" i="11"/>
  <c r="C47" i="11"/>
  <c r="F46" i="11"/>
  <c r="C46" i="11"/>
  <c r="F45" i="11"/>
  <c r="D24" i="11" s="1"/>
  <c r="F44" i="11"/>
  <c r="F43" i="11"/>
  <c r="F42" i="11"/>
  <c r="F41" i="11"/>
  <c r="F40" i="11"/>
  <c r="F39" i="11"/>
  <c r="F30" i="11"/>
  <c r="F29" i="11"/>
  <c r="F28" i="11"/>
  <c r="F27" i="11"/>
  <c r="F26" i="11"/>
  <c r="F25" i="11"/>
  <c r="K22" i="11"/>
  <c r="J22" i="11"/>
  <c r="I22" i="11"/>
  <c r="H22" i="11"/>
  <c r="G22" i="11"/>
  <c r="F23" i="11"/>
  <c r="C23" i="11"/>
  <c r="F21" i="11"/>
  <c r="E21" i="11"/>
  <c r="C21" i="11" s="1"/>
  <c r="F20" i="11"/>
  <c r="E20" i="11"/>
  <c r="C20" i="11" s="1"/>
  <c r="F19" i="11"/>
  <c r="E19" i="11"/>
  <c r="C19" i="11" s="1"/>
  <c r="F18" i="11"/>
  <c r="E18" i="11"/>
  <c r="F17" i="11"/>
  <c r="E17" i="11"/>
  <c r="F16" i="11"/>
  <c r="F15" i="11"/>
  <c r="E15" i="11"/>
  <c r="C15" i="11" s="1"/>
  <c r="F14" i="11"/>
  <c r="E14" i="11"/>
  <c r="C14" i="11" s="1"/>
  <c r="W13" i="11"/>
  <c r="V13" i="11"/>
  <c r="U13" i="11"/>
  <c r="T13" i="11"/>
  <c r="S13" i="11"/>
  <c r="R13" i="11"/>
  <c r="Q13" i="11"/>
  <c r="P13" i="11"/>
  <c r="O13" i="11"/>
  <c r="N13" i="11"/>
  <c r="M13" i="11"/>
  <c r="L13" i="11"/>
  <c r="K13" i="11"/>
  <c r="J13" i="11"/>
  <c r="I13" i="11"/>
  <c r="H13" i="11"/>
  <c r="G13" i="11"/>
  <c r="D13" i="11"/>
  <c r="A12" i="11"/>
  <c r="I11" i="11"/>
  <c r="J11" i="11" s="1"/>
  <c r="K11" i="11" s="1"/>
  <c r="L11" i="11" s="1"/>
  <c r="M11" i="11" s="1"/>
  <c r="N11" i="11" s="1"/>
  <c r="O11" i="11" s="1"/>
  <c r="P11" i="11" s="1"/>
  <c r="Q11" i="11" s="1"/>
  <c r="R11" i="11" s="1"/>
  <c r="S11" i="11" s="1"/>
  <c r="T11" i="11" s="1"/>
  <c r="U11" i="11" s="1"/>
  <c r="V11" i="11" s="1"/>
  <c r="W11" i="11" s="1"/>
  <c r="X11" i="11" s="1"/>
  <c r="C11" i="11"/>
  <c r="B11" i="11"/>
  <c r="A11" i="11"/>
  <c r="H9" i="11"/>
  <c r="I9" i="11" s="1"/>
  <c r="J9" i="11" s="1"/>
  <c r="K9" i="11" s="1"/>
  <c r="L9" i="11" s="1"/>
  <c r="M9" i="11" s="1"/>
  <c r="N9" i="11" s="1"/>
  <c r="O9" i="11" s="1"/>
  <c r="P9" i="11" s="1"/>
  <c r="Q9" i="11" s="1"/>
  <c r="R9" i="11" s="1"/>
  <c r="S9" i="11" s="1"/>
  <c r="T9" i="11" s="1"/>
  <c r="U9" i="11" s="1"/>
  <c r="V9" i="11" s="1"/>
  <c r="W9" i="11" s="1"/>
  <c r="K60" i="11" l="1"/>
  <c r="J59" i="11"/>
  <c r="J58" i="11" s="1"/>
  <c r="J86" i="11" s="1"/>
  <c r="M74" i="11"/>
  <c r="M35" i="11"/>
  <c r="L24" i="11"/>
  <c r="L22" i="11" s="1"/>
  <c r="L49" i="11" s="1"/>
  <c r="F13" i="11"/>
  <c r="AL49" i="18"/>
  <c r="AL66" i="18" s="1"/>
  <c r="T49" i="18"/>
  <c r="T66" i="18" s="1"/>
  <c r="I16" i="13"/>
  <c r="F13" i="19"/>
  <c r="BX17" i="19"/>
  <c r="AZ17" i="19" s="1"/>
  <c r="AZ18" i="19"/>
  <c r="AZ22" i="19"/>
  <c r="AZ26" i="19"/>
  <c r="AZ21" i="19"/>
  <c r="AZ25" i="19"/>
  <c r="AZ29" i="19"/>
  <c r="AZ20" i="19"/>
  <c r="AZ24" i="19"/>
  <c r="AZ28" i="19"/>
  <c r="AZ19" i="19"/>
  <c r="AZ23" i="19"/>
  <c r="AZ27" i="19"/>
  <c r="BW17" i="19"/>
  <c r="AY17" i="19" s="1"/>
  <c r="AB49" i="18"/>
  <c r="AB66" i="18" s="1"/>
  <c r="D28" i="16" s="1"/>
  <c r="AM48" i="18"/>
  <c r="E24" i="11"/>
  <c r="E22" i="11" s="1"/>
  <c r="I49" i="11"/>
  <c r="F24" i="11"/>
  <c r="F22" i="11" s="1"/>
  <c r="G49" i="11"/>
  <c r="K49" i="11"/>
  <c r="M67" i="11"/>
  <c r="N67" i="11" s="1"/>
  <c r="O67" i="11" s="1"/>
  <c r="P67" i="11" s="1"/>
  <c r="Q67" i="11" s="1"/>
  <c r="R67" i="11" s="1"/>
  <c r="S67" i="11" s="1"/>
  <c r="T67" i="11" s="1"/>
  <c r="F67" i="11" s="1"/>
  <c r="E67" i="11" s="1"/>
  <c r="M61" i="11"/>
  <c r="N61" i="11" s="1"/>
  <c r="O61" i="11" s="1"/>
  <c r="P61" i="11" s="1"/>
  <c r="Q61" i="11" s="1"/>
  <c r="R61" i="11" s="1"/>
  <c r="S61" i="11" s="1"/>
  <c r="T61" i="11" s="1"/>
  <c r="M69" i="11"/>
  <c r="N69" i="11" s="1"/>
  <c r="O69" i="11" s="1"/>
  <c r="P69" i="11" s="1"/>
  <c r="Q69" i="11" s="1"/>
  <c r="R69" i="11" s="1"/>
  <c r="S69" i="11" s="1"/>
  <c r="T69" i="11" s="1"/>
  <c r="V80" i="11"/>
  <c r="J49" i="11"/>
  <c r="M63" i="11"/>
  <c r="N63" i="11" s="1"/>
  <c r="O63" i="11" s="1"/>
  <c r="P63" i="11" s="1"/>
  <c r="Q63" i="11" s="1"/>
  <c r="R63" i="11" s="1"/>
  <c r="S63" i="11" s="1"/>
  <c r="T63" i="11" s="1"/>
  <c r="L60" i="11"/>
  <c r="M65" i="11"/>
  <c r="N65" i="11" s="1"/>
  <c r="O65" i="11" s="1"/>
  <c r="P65" i="11" s="1"/>
  <c r="Q65" i="11" s="1"/>
  <c r="R65" i="11" s="1"/>
  <c r="S65" i="11" s="1"/>
  <c r="T65" i="11" s="1"/>
  <c r="H49" i="11"/>
  <c r="E13" i="11"/>
  <c r="D22" i="11"/>
  <c r="K62" i="11"/>
  <c r="L62" i="11" s="1"/>
  <c r="M62" i="11" s="1"/>
  <c r="N62" i="11" s="1"/>
  <c r="O62" i="11" s="1"/>
  <c r="P62" i="11" s="1"/>
  <c r="Q62" i="11" s="1"/>
  <c r="R62" i="11" s="1"/>
  <c r="S62" i="11" s="1"/>
  <c r="T62" i="11" s="1"/>
  <c r="F64" i="11"/>
  <c r="E64" i="11" s="1"/>
  <c r="K66" i="11"/>
  <c r="L66" i="11" s="1"/>
  <c r="M66" i="11" s="1"/>
  <c r="N66" i="11" s="1"/>
  <c r="O66" i="11" s="1"/>
  <c r="P66" i="11" s="1"/>
  <c r="Q66" i="11" s="1"/>
  <c r="R66" i="11" s="1"/>
  <c r="S66" i="11" s="1"/>
  <c r="T66" i="11" s="1"/>
  <c r="F68" i="11"/>
  <c r="E68" i="11" s="1"/>
  <c r="K78" i="11"/>
  <c r="L78" i="11" s="1"/>
  <c r="M78" i="11" s="1"/>
  <c r="N78" i="11" s="1"/>
  <c r="O78" i="11" s="1"/>
  <c r="P78" i="11" s="1"/>
  <c r="Q78" i="11" s="1"/>
  <c r="R78" i="11" s="1"/>
  <c r="S78" i="11" s="1"/>
  <c r="T78" i="11" s="1"/>
  <c r="F79" i="11"/>
  <c r="E79" i="11" s="1"/>
  <c r="N35" i="11" l="1"/>
  <c r="M24" i="11"/>
  <c r="M22" i="11" s="1"/>
  <c r="M49" i="11" s="1"/>
  <c r="L59" i="11"/>
  <c r="L58" i="11" s="1"/>
  <c r="L86" i="11" s="1"/>
  <c r="N74" i="11"/>
  <c r="F49" i="11"/>
  <c r="K59" i="11"/>
  <c r="F80" i="11"/>
  <c r="D80" i="11" s="1"/>
  <c r="D59" i="11" s="1"/>
  <c r="D58" i="11" s="1"/>
  <c r="C22" i="11"/>
  <c r="C24" i="11"/>
  <c r="I2" i="17"/>
  <c r="C2" i="17" s="1"/>
  <c r="D49" i="11"/>
  <c r="G13" i="19"/>
  <c r="R13" i="19"/>
  <c r="AD13" i="19" s="1"/>
  <c r="AP13" i="19" s="1"/>
  <c r="BB13" i="19" s="1"/>
  <c r="BN13" i="19" s="1"/>
  <c r="BZ13" i="19" s="1"/>
  <c r="BY17" i="19"/>
  <c r="BA17" i="19" s="1"/>
  <c r="BA18" i="19"/>
  <c r="BA29" i="19"/>
  <c r="BA27" i="19"/>
  <c r="BA19" i="19"/>
  <c r="BA22" i="19"/>
  <c r="BA23" i="19"/>
  <c r="BA26" i="19"/>
  <c r="BA24" i="19"/>
  <c r="BA21" i="19"/>
  <c r="BA28" i="19"/>
  <c r="BA20" i="19"/>
  <c r="BA25" i="19"/>
  <c r="Z49" i="18"/>
  <c r="Z66" i="18" s="1"/>
  <c r="K4" i="16" s="1"/>
  <c r="AM35" i="18"/>
  <c r="AM49" i="18" s="1"/>
  <c r="AM66" i="18" s="1"/>
  <c r="E49" i="11"/>
  <c r="C13" i="11"/>
  <c r="F61" i="11"/>
  <c r="E61" i="11" s="1"/>
  <c r="F65" i="11"/>
  <c r="E65" i="11" s="1"/>
  <c r="F63" i="11"/>
  <c r="E63" i="11" s="1"/>
  <c r="F62" i="11"/>
  <c r="E62" i="11" s="1"/>
  <c r="M60" i="11"/>
  <c r="M59" i="11" s="1"/>
  <c r="F66" i="11"/>
  <c r="E66" i="11" s="1"/>
  <c r="F78" i="11"/>
  <c r="E78" i="11" s="1"/>
  <c r="F69" i="11"/>
  <c r="E69" i="11" s="1"/>
  <c r="O74" i="11" l="1"/>
  <c r="O35" i="11"/>
  <c r="N24" i="11"/>
  <c r="N22" i="11" s="1"/>
  <c r="N49" i="11" s="1"/>
  <c r="G3" i="17"/>
  <c r="H13" i="19"/>
  <c r="S13" i="19"/>
  <c r="AE13" i="19" s="1"/>
  <c r="AQ13" i="19" s="1"/>
  <c r="BC13" i="19" s="1"/>
  <c r="BO13" i="19" s="1"/>
  <c r="CA13" i="19" s="1"/>
  <c r="BB26" i="19"/>
  <c r="BB22" i="19"/>
  <c r="BB25" i="19"/>
  <c r="BB28" i="19"/>
  <c r="BB24" i="19"/>
  <c r="BB23" i="19"/>
  <c r="BB19" i="19"/>
  <c r="BB29" i="19"/>
  <c r="BZ17" i="19"/>
  <c r="BB17" i="19" s="1"/>
  <c r="BB18" i="19"/>
  <c r="BB20" i="19"/>
  <c r="BB21" i="19"/>
  <c r="BB27" i="19"/>
  <c r="K58" i="11"/>
  <c r="K86" i="11" s="1"/>
  <c r="N60" i="11"/>
  <c r="N59" i="11" s="1"/>
  <c r="M58" i="11"/>
  <c r="M86" i="11" s="1"/>
  <c r="D86" i="11"/>
  <c r="P35" i="11" l="1"/>
  <c r="O24" i="11"/>
  <c r="O22" i="11" s="1"/>
  <c r="O49" i="11" s="1"/>
  <c r="P74" i="11"/>
  <c r="I13" i="19"/>
  <c r="T13" i="19"/>
  <c r="AF13" i="19" s="1"/>
  <c r="AR13" i="19" s="1"/>
  <c r="BD13" i="19" s="1"/>
  <c r="BP13" i="19" s="1"/>
  <c r="CB13" i="19" s="1"/>
  <c r="BC21" i="19"/>
  <c r="BC27" i="19"/>
  <c r="BC20" i="19"/>
  <c r="CA17" i="19"/>
  <c r="BC17" i="19" s="1"/>
  <c r="BC18" i="19"/>
  <c r="BC19" i="19"/>
  <c r="BC24" i="19"/>
  <c r="BC25" i="19"/>
  <c r="BC26" i="19"/>
  <c r="BC29" i="19"/>
  <c r="BC23" i="19"/>
  <c r="BC28" i="19"/>
  <c r="BC22" i="19"/>
  <c r="N58" i="11"/>
  <c r="N86" i="11" s="1"/>
  <c r="O60" i="11"/>
  <c r="O59" i="11" s="1"/>
  <c r="Q74" i="11" l="1"/>
  <c r="Q35" i="11"/>
  <c r="P24" i="11"/>
  <c r="P22" i="11" s="1"/>
  <c r="P49" i="11" s="1"/>
  <c r="U13" i="19"/>
  <c r="AG13" i="19" s="1"/>
  <c r="AS13" i="19" s="1"/>
  <c r="BE13" i="19" s="1"/>
  <c r="BQ13" i="19" s="1"/>
  <c r="CC13" i="19" s="1"/>
  <c r="J13" i="19"/>
  <c r="BD22" i="19"/>
  <c r="BD20" i="19"/>
  <c r="BD23" i="19"/>
  <c r="BD26" i="19"/>
  <c r="BD24" i="19"/>
  <c r="BD28" i="19"/>
  <c r="BD19" i="19"/>
  <c r="BD21" i="19"/>
  <c r="BD29" i="19"/>
  <c r="BD25" i="19"/>
  <c r="CB17" i="19"/>
  <c r="BD17" i="19" s="1"/>
  <c r="BD18" i="19"/>
  <c r="BD27" i="19"/>
  <c r="P60" i="11"/>
  <c r="P59" i="11" s="1"/>
  <c r="R35" i="11" l="1"/>
  <c r="Q24" i="11"/>
  <c r="Q22" i="11" s="1"/>
  <c r="Q49" i="11" s="1"/>
  <c r="R74" i="11"/>
  <c r="V13" i="19"/>
  <c r="AH13" i="19" s="1"/>
  <c r="AT13" i="19" s="1"/>
  <c r="BF13" i="19" s="1"/>
  <c r="BR13" i="19" s="1"/>
  <c r="CD13" i="19" s="1"/>
  <c r="K13" i="19"/>
  <c r="BE26" i="19"/>
  <c r="BE27" i="19"/>
  <c r="BE29" i="19"/>
  <c r="BE24" i="19"/>
  <c r="BE19" i="19"/>
  <c r="BE23" i="19"/>
  <c r="BE22" i="19"/>
  <c r="CC17" i="19"/>
  <c r="BE17" i="19" s="1"/>
  <c r="BE18" i="19"/>
  <c r="BE25" i="19"/>
  <c r="BE21" i="19"/>
  <c r="BE28" i="19"/>
  <c r="BE20" i="19"/>
  <c r="O58" i="11"/>
  <c r="O86" i="11" s="1"/>
  <c r="P58" i="11"/>
  <c r="P86" i="11" s="1"/>
  <c r="Q60" i="11"/>
  <c r="Q59" i="11" s="1"/>
  <c r="S74" i="11" l="1"/>
  <c r="S35" i="11"/>
  <c r="R24" i="11"/>
  <c r="R22" i="11" s="1"/>
  <c r="R49" i="11" s="1"/>
  <c r="W13" i="19"/>
  <c r="AI13" i="19" s="1"/>
  <c r="AU13" i="19" s="1"/>
  <c r="BG13" i="19" s="1"/>
  <c r="BS13" i="19" s="1"/>
  <c r="CE13" i="19" s="1"/>
  <c r="L13" i="19"/>
  <c r="BF23" i="19"/>
  <c r="BF24" i="19"/>
  <c r="BF27" i="19"/>
  <c r="BF20" i="19"/>
  <c r="BF21" i="19"/>
  <c r="BF22" i="19"/>
  <c r="BF26" i="19"/>
  <c r="BF19" i="19"/>
  <c r="BF29" i="19"/>
  <c r="BF28" i="19"/>
  <c r="BF25" i="19"/>
  <c r="CD17" i="19"/>
  <c r="BF17" i="19" s="1"/>
  <c r="BF18" i="19"/>
  <c r="R60" i="11"/>
  <c r="R59" i="11" s="1"/>
  <c r="T35" i="11" l="1"/>
  <c r="S24" i="11"/>
  <c r="S22" i="11" s="1"/>
  <c r="S49" i="11" s="1"/>
  <c r="T74" i="11"/>
  <c r="X13" i="19"/>
  <c r="AJ13" i="19" s="1"/>
  <c r="AV13" i="19" s="1"/>
  <c r="BH13" i="19" s="1"/>
  <c r="BT13" i="19" s="1"/>
  <c r="CF13" i="19" s="1"/>
  <c r="M13" i="19"/>
  <c r="Y13" i="19" s="1"/>
  <c r="AK13" i="19" s="1"/>
  <c r="AW13" i="19" s="1"/>
  <c r="BI13" i="19" s="1"/>
  <c r="BU13" i="19" s="1"/>
  <c r="CG13" i="19" s="1"/>
  <c r="BG25" i="19"/>
  <c r="BG29" i="19"/>
  <c r="BG26" i="19"/>
  <c r="BG21" i="19"/>
  <c r="BG27" i="19"/>
  <c r="BG23" i="19"/>
  <c r="CE17" i="19"/>
  <c r="BG17" i="19" s="1"/>
  <c r="BG18" i="19"/>
  <c r="BG28" i="19"/>
  <c r="BG19" i="19"/>
  <c r="BG22" i="19"/>
  <c r="BG20" i="19"/>
  <c r="BG24" i="19"/>
  <c r="R58" i="11"/>
  <c r="R86" i="11" s="1"/>
  <c r="S60" i="11"/>
  <c r="S59" i="11" s="1"/>
  <c r="Q58" i="11"/>
  <c r="Q86" i="11" s="1"/>
  <c r="U74" i="11" l="1"/>
  <c r="U35" i="11"/>
  <c r="T24" i="11"/>
  <c r="T22" i="11" s="1"/>
  <c r="T49" i="11" s="1"/>
  <c r="BH20" i="19"/>
  <c r="BH19" i="19"/>
  <c r="BH24" i="19"/>
  <c r="BH22" i="19"/>
  <c r="BH28" i="19"/>
  <c r="BH21" i="19"/>
  <c r="BH29" i="19"/>
  <c r="CF17" i="19"/>
  <c r="BH17" i="19" s="1"/>
  <c r="BH18" i="19"/>
  <c r="BH27" i="19"/>
  <c r="BH26" i="19"/>
  <c r="BH25" i="19"/>
  <c r="BH23" i="19"/>
  <c r="S58" i="11"/>
  <c r="S86" i="11" s="1"/>
  <c r="T60" i="11"/>
  <c r="T59" i="11" s="1"/>
  <c r="V35" i="11" l="1"/>
  <c r="U24" i="11"/>
  <c r="U22" i="11" s="1"/>
  <c r="U49" i="11" s="1"/>
  <c r="V74" i="11"/>
  <c r="U59" i="11"/>
  <c r="U58" i="11" s="1"/>
  <c r="U86" i="11" s="1"/>
  <c r="BJ22" i="19"/>
  <c r="BI22" i="19"/>
  <c r="BI19" i="19"/>
  <c r="BJ19" i="19"/>
  <c r="BI23" i="19"/>
  <c r="BJ23" i="19"/>
  <c r="BJ26" i="19"/>
  <c r="BI26" i="19"/>
  <c r="CG17" i="19"/>
  <c r="BI17" i="19" s="1"/>
  <c r="BI18" i="19"/>
  <c r="BI29" i="19"/>
  <c r="BJ29" i="19"/>
  <c r="BI28" i="19"/>
  <c r="BJ28" i="19"/>
  <c r="BI24" i="19"/>
  <c r="BJ24" i="19"/>
  <c r="BI20" i="19"/>
  <c r="BJ20" i="19"/>
  <c r="BI25" i="19"/>
  <c r="BJ25" i="19"/>
  <c r="BI27" i="19"/>
  <c r="BJ27" i="19"/>
  <c r="BI21" i="19"/>
  <c r="BJ21" i="19"/>
  <c r="F60" i="11"/>
  <c r="E60" i="11" s="1"/>
  <c r="E59" i="11" s="1"/>
  <c r="W74" i="11" l="1"/>
  <c r="W59" i="11" s="1"/>
  <c r="W58" i="11" s="1"/>
  <c r="W86" i="11" s="1"/>
  <c r="V59" i="11"/>
  <c r="V58" i="11" s="1"/>
  <c r="V86" i="11" s="1"/>
  <c r="W35" i="11"/>
  <c r="W24" i="11" s="1"/>
  <c r="W22" i="11" s="1"/>
  <c r="W49" i="11" s="1"/>
  <c r="C49" i="11" s="1"/>
  <c r="V24" i="11"/>
  <c r="V22" i="11" s="1"/>
  <c r="V49" i="11" s="1"/>
  <c r="CH17" i="19"/>
  <c r="BJ17" i="19" s="1"/>
  <c r="BJ18" i="19"/>
  <c r="T58" i="11"/>
  <c r="T86" i="11" s="1"/>
  <c r="C86" i="11" s="1"/>
  <c r="F59" i="11"/>
  <c r="F58" i="11" s="1"/>
  <c r="F86" i="11" s="1"/>
  <c r="E58" i="11"/>
  <c r="C59" i="11"/>
  <c r="E86" i="11" l="1"/>
  <c r="C58" i="11"/>
  <c r="O135" i="16" l="1"/>
  <c r="M4" i="16"/>
  <c r="E29" i="16"/>
  <c r="E26" i="16"/>
  <c r="F23" i="16"/>
  <c r="E23" i="16"/>
  <c r="F22" i="16"/>
  <c r="E22" i="16"/>
  <c r="F21" i="16"/>
  <c r="E21" i="16"/>
  <c r="F20" i="16"/>
  <c r="E20" i="16"/>
  <c r="F19" i="16"/>
  <c r="E19" i="16"/>
  <c r="F18" i="16"/>
  <c r="E18" i="16"/>
  <c r="F17" i="16"/>
  <c r="E17" i="16"/>
  <c r="F16" i="16"/>
  <c r="E16" i="16"/>
  <c r="F15" i="16"/>
  <c r="E15" i="16"/>
  <c r="F14" i="16"/>
  <c r="E14" i="16"/>
  <c r="F13" i="16"/>
  <c r="E13" i="16"/>
  <c r="F12" i="16"/>
  <c r="E12" i="16"/>
  <c r="F11" i="16"/>
  <c r="E11" i="16"/>
  <c r="F10" i="16"/>
  <c r="E10" i="16"/>
  <c r="F9" i="16"/>
  <c r="E9" i="16"/>
  <c r="F8" i="16"/>
  <c r="E8" i="16"/>
  <c r="F7" i="16"/>
  <c r="E7" i="16"/>
  <c r="F6" i="16"/>
  <c r="E6" i="16"/>
  <c r="E5" i="16"/>
  <c r="D5" i="16"/>
  <c r="F5" i="16" s="1"/>
  <c r="F4" i="16"/>
  <c r="E4" i="16"/>
  <c r="E13" i="17"/>
  <c r="F13" i="17" s="1"/>
  <c r="I8" i="17"/>
  <c r="B2" i="17"/>
  <c r="E1" i="17"/>
  <c r="F1" i="17" s="1"/>
  <c r="G1" i="17" s="1"/>
  <c r="H1" i="17" s="1"/>
  <c r="I1" i="17" s="1"/>
  <c r="J1" i="17" s="1"/>
  <c r="K1" i="17" s="1"/>
  <c r="L1" i="17" s="1"/>
  <c r="M1" i="17" s="1"/>
  <c r="N1" i="17" s="1"/>
  <c r="O1" i="17" s="1"/>
  <c r="P1" i="17" s="1"/>
  <c r="Q1" i="17" s="1"/>
  <c r="R1" i="17" s="1"/>
  <c r="D19" i="17"/>
  <c r="N14" i="17"/>
  <c r="M14" i="17"/>
  <c r="L14" i="17"/>
  <c r="K14" i="17"/>
  <c r="J14" i="17"/>
  <c r="I14" i="17"/>
  <c r="H14" i="17"/>
  <c r="G14" i="17"/>
  <c r="F14" i="17"/>
  <c r="E14" i="17"/>
  <c r="D14" i="17"/>
  <c r="E8" i="17"/>
  <c r="D8" i="17"/>
  <c r="D21" i="17" s="1"/>
  <c r="C7" i="17"/>
  <c r="C6" i="17"/>
  <c r="C5" i="17"/>
  <c r="C4" i="17"/>
  <c r="C3" i="17"/>
  <c r="J8" i="17"/>
  <c r="H8" i="17"/>
  <c r="G8" i="17"/>
  <c r="F8" i="17"/>
  <c r="G20" i="16" l="1"/>
  <c r="G16" i="16"/>
  <c r="G6" i="16"/>
  <c r="G8" i="16"/>
  <c r="G10" i="16"/>
  <c r="G14" i="16"/>
  <c r="H15" i="16"/>
  <c r="G11" i="16"/>
  <c r="G13" i="16"/>
  <c r="G15" i="16"/>
  <c r="G21" i="16"/>
  <c r="G22" i="16"/>
  <c r="G23" i="16"/>
  <c r="U144" i="16"/>
  <c r="U128" i="16"/>
  <c r="L4" i="16"/>
  <c r="N4" i="16" s="1"/>
  <c r="U132" i="16"/>
  <c r="U124" i="16"/>
  <c r="U140" i="16"/>
  <c r="T4" i="16"/>
  <c r="U30" i="16" s="1"/>
  <c r="U136" i="16"/>
  <c r="U127" i="16"/>
  <c r="U131" i="16"/>
  <c r="U135" i="16"/>
  <c r="U139" i="16"/>
  <c r="U143" i="16"/>
  <c r="U147" i="16"/>
  <c r="U126" i="16"/>
  <c r="U130" i="16"/>
  <c r="U134" i="16"/>
  <c r="U138" i="16"/>
  <c r="U142" i="16"/>
  <c r="U146" i="16"/>
  <c r="U125" i="16"/>
  <c r="U129" i="16"/>
  <c r="U133" i="16"/>
  <c r="U137" i="16"/>
  <c r="U141" i="16"/>
  <c r="U145" i="16"/>
  <c r="E142" i="16"/>
  <c r="E134" i="16"/>
  <c r="E126" i="16"/>
  <c r="E118" i="16"/>
  <c r="E110" i="16"/>
  <c r="E102" i="16"/>
  <c r="E94" i="16"/>
  <c r="E86" i="16"/>
  <c r="E78" i="16"/>
  <c r="E70" i="16"/>
  <c r="E62" i="16"/>
  <c r="E54" i="16"/>
  <c r="E46" i="16"/>
  <c r="E38" i="16"/>
  <c r="E30" i="16"/>
  <c r="E144" i="16"/>
  <c r="E136" i="16"/>
  <c r="E128" i="16"/>
  <c r="E120" i="16"/>
  <c r="E112" i="16"/>
  <c r="E104" i="16"/>
  <c r="E96" i="16"/>
  <c r="E88" i="16"/>
  <c r="E80" i="16"/>
  <c r="E72" i="16"/>
  <c r="E64" i="16"/>
  <c r="E56" i="16"/>
  <c r="E48" i="16"/>
  <c r="E40" i="16"/>
  <c r="E32" i="16"/>
  <c r="E146" i="16"/>
  <c r="E138" i="16"/>
  <c r="E130" i="16"/>
  <c r="E122" i="16"/>
  <c r="E114" i="16"/>
  <c r="E106" i="16"/>
  <c r="E98" i="16"/>
  <c r="E90" i="16"/>
  <c r="E82" i="16"/>
  <c r="E74" i="16"/>
  <c r="E66" i="16"/>
  <c r="E58" i="16"/>
  <c r="E50" i="16"/>
  <c r="E42" i="16"/>
  <c r="E34" i="16"/>
  <c r="E28" i="16"/>
  <c r="E140" i="16"/>
  <c r="E132" i="16"/>
  <c r="E124" i="16"/>
  <c r="E116" i="16"/>
  <c r="E108" i="16"/>
  <c r="E100" i="16"/>
  <c r="E92" i="16"/>
  <c r="E84" i="16"/>
  <c r="E76" i="16"/>
  <c r="E68" i="16"/>
  <c r="E60" i="16"/>
  <c r="E52" i="16"/>
  <c r="E44" i="16"/>
  <c r="E36" i="16"/>
  <c r="E147" i="16"/>
  <c r="E143" i="16"/>
  <c r="E139" i="16"/>
  <c r="E135" i="16"/>
  <c r="E131" i="16"/>
  <c r="E127" i="16"/>
  <c r="E123" i="16"/>
  <c r="E119" i="16"/>
  <c r="E115" i="16"/>
  <c r="E111" i="16"/>
  <c r="E107" i="16"/>
  <c r="E103" i="16"/>
  <c r="E99" i="16"/>
  <c r="E95" i="16"/>
  <c r="E91" i="16"/>
  <c r="E87" i="16"/>
  <c r="E83" i="16"/>
  <c r="E79" i="16"/>
  <c r="E75" i="16"/>
  <c r="E71" i="16"/>
  <c r="E67" i="16"/>
  <c r="E63" i="16"/>
  <c r="E59" i="16"/>
  <c r="E55" i="16"/>
  <c r="E51" i="16"/>
  <c r="E47" i="16"/>
  <c r="E43" i="16"/>
  <c r="E39" i="16"/>
  <c r="E35" i="16"/>
  <c r="E31" i="16"/>
  <c r="E145" i="16"/>
  <c r="E141" i="16"/>
  <c r="E137" i="16"/>
  <c r="E133" i="16"/>
  <c r="E129" i="16"/>
  <c r="E125" i="16"/>
  <c r="E121" i="16"/>
  <c r="E117" i="16"/>
  <c r="E113" i="16"/>
  <c r="E109" i="16"/>
  <c r="E105" i="16"/>
  <c r="E101" i="16"/>
  <c r="E97" i="16"/>
  <c r="E93" i="16"/>
  <c r="E89" i="16"/>
  <c r="E85" i="16"/>
  <c r="E81" i="16"/>
  <c r="E77" i="16"/>
  <c r="E73" i="16"/>
  <c r="E69" i="16"/>
  <c r="E65" i="16"/>
  <c r="E61" i="16"/>
  <c r="E57" i="16"/>
  <c r="E53" i="16"/>
  <c r="E49" i="16"/>
  <c r="E45" i="16"/>
  <c r="E41" i="16"/>
  <c r="E37" i="16"/>
  <c r="E33" i="16"/>
  <c r="G5" i="16"/>
  <c r="G17" i="16"/>
  <c r="G19" i="16"/>
  <c r="G18" i="16"/>
  <c r="F25" i="16"/>
  <c r="E25" i="16"/>
  <c r="E27" i="16"/>
  <c r="G7" i="16"/>
  <c r="G9" i="16"/>
  <c r="G12" i="16"/>
  <c r="G4" i="16"/>
  <c r="G13" i="17"/>
  <c r="G18" i="17"/>
  <c r="G22" i="17" s="1"/>
  <c r="H22" i="17" s="1"/>
  <c r="I17" i="17"/>
  <c r="I21" i="17" s="1"/>
  <c r="J21" i="17" s="1"/>
  <c r="C8" i="17"/>
  <c r="E21" i="17"/>
  <c r="F21" i="17" s="1"/>
  <c r="G21" i="17" s="1"/>
  <c r="D22" i="17"/>
  <c r="D17" i="17"/>
  <c r="F22" i="17"/>
  <c r="E19" i="17"/>
  <c r="E22" i="17"/>
  <c r="D23" i="17"/>
  <c r="E18" i="17"/>
  <c r="U14" i="16" l="1"/>
  <c r="U102" i="16"/>
  <c r="U109" i="16"/>
  <c r="U38" i="16"/>
  <c r="U45" i="16"/>
  <c r="U80" i="16"/>
  <c r="U70" i="16"/>
  <c r="U13" i="16"/>
  <c r="U77" i="16"/>
  <c r="U32" i="16"/>
  <c r="U23" i="16"/>
  <c r="U54" i="16"/>
  <c r="U86" i="16"/>
  <c r="U118" i="16"/>
  <c r="U29" i="16"/>
  <c r="U61" i="16"/>
  <c r="U93" i="16"/>
  <c r="T5" i="16"/>
  <c r="V5" i="16" s="1"/>
  <c r="U52" i="16"/>
  <c r="U112" i="16"/>
  <c r="U55" i="16"/>
  <c r="L5" i="16"/>
  <c r="L6" i="16" s="1"/>
  <c r="U46" i="16"/>
  <c r="U62" i="16"/>
  <c r="U78" i="16"/>
  <c r="U94" i="16"/>
  <c r="U110" i="16"/>
  <c r="U5" i="16"/>
  <c r="U21" i="16"/>
  <c r="U37" i="16"/>
  <c r="U53" i="16"/>
  <c r="U69" i="16"/>
  <c r="U85" i="16"/>
  <c r="U101" i="16"/>
  <c r="U121" i="16"/>
  <c r="U16" i="16"/>
  <c r="U40" i="16"/>
  <c r="U64" i="16"/>
  <c r="U96" i="16"/>
  <c r="U7" i="16"/>
  <c r="U39" i="16"/>
  <c r="U99" i="16"/>
  <c r="U34" i="16"/>
  <c r="U42" i="16"/>
  <c r="U50" i="16"/>
  <c r="U58" i="16"/>
  <c r="U66" i="16"/>
  <c r="U74" i="16"/>
  <c r="U82" i="16"/>
  <c r="U90" i="16"/>
  <c r="U98" i="16"/>
  <c r="U106" i="16"/>
  <c r="U114" i="16"/>
  <c r="U122" i="16"/>
  <c r="U9" i="16"/>
  <c r="U17" i="16"/>
  <c r="U25" i="16"/>
  <c r="U33" i="16"/>
  <c r="U41" i="16"/>
  <c r="U49" i="16"/>
  <c r="U57" i="16"/>
  <c r="U65" i="16"/>
  <c r="U73" i="16"/>
  <c r="U81" i="16"/>
  <c r="U89" i="16"/>
  <c r="U97" i="16"/>
  <c r="U105" i="16"/>
  <c r="U113" i="16"/>
  <c r="U4" i="16"/>
  <c r="U12" i="16"/>
  <c r="U20" i="16"/>
  <c r="U36" i="16"/>
  <c r="U48" i="16"/>
  <c r="U56" i="16"/>
  <c r="U72" i="16"/>
  <c r="U88" i="16"/>
  <c r="U104" i="16"/>
  <c r="U120" i="16"/>
  <c r="U15" i="16"/>
  <c r="U31" i="16"/>
  <c r="U47" i="16"/>
  <c r="U67" i="16"/>
  <c r="U10" i="16"/>
  <c r="U68" i="16"/>
  <c r="U84" i="16"/>
  <c r="U100" i="16"/>
  <c r="U116" i="16"/>
  <c r="U11" i="16"/>
  <c r="U27" i="16"/>
  <c r="U43" i="16"/>
  <c r="U59" i="16"/>
  <c r="U115" i="16"/>
  <c r="U95" i="16"/>
  <c r="U117" i="16"/>
  <c r="U8" i="16"/>
  <c r="U24" i="16"/>
  <c r="U44" i="16"/>
  <c r="U60" i="16"/>
  <c r="U76" i="16"/>
  <c r="U92" i="16"/>
  <c r="U108" i="16"/>
  <c r="U28" i="16"/>
  <c r="U19" i="16"/>
  <c r="U35" i="16"/>
  <c r="U51" i="16"/>
  <c r="U83" i="16"/>
  <c r="U26" i="16"/>
  <c r="U119" i="16"/>
  <c r="U71" i="16"/>
  <c r="U111" i="16"/>
  <c r="U18" i="16"/>
  <c r="U79" i="16"/>
  <c r="U22" i="16"/>
  <c r="U123" i="16"/>
  <c r="V4" i="16"/>
  <c r="W4" i="16" s="1"/>
  <c r="U63" i="16"/>
  <c r="U6" i="16"/>
  <c r="U75" i="16"/>
  <c r="U87" i="16"/>
  <c r="U103" i="16"/>
  <c r="D26" i="17"/>
  <c r="G25" i="16"/>
  <c r="U91" i="16"/>
  <c r="U107" i="16"/>
  <c r="F26" i="16"/>
  <c r="E148" i="16"/>
  <c r="D20" i="17"/>
  <c r="D34" i="17" s="1"/>
  <c r="H13" i="17"/>
  <c r="E20" i="17"/>
  <c r="E34" i="17" s="1"/>
  <c r="E26" i="17"/>
  <c r="F18" i="17" s="1"/>
  <c r="F19" i="17"/>
  <c r="D16" i="17"/>
  <c r="D25" i="17"/>
  <c r="E17" i="17" s="1"/>
  <c r="E15" i="17"/>
  <c r="F20" i="17"/>
  <c r="F34" i="17" s="1"/>
  <c r="K5" i="16" l="1"/>
  <c r="K6" i="16" s="1"/>
  <c r="T6" i="16"/>
  <c r="T7" i="16" s="1"/>
  <c r="U148" i="16"/>
  <c r="W5" i="16"/>
  <c r="M5" i="16"/>
  <c r="G26" i="16"/>
  <c r="F27" i="16"/>
  <c r="G27" i="16" s="1"/>
  <c r="L7" i="16"/>
  <c r="I13" i="17"/>
  <c r="E23" i="17"/>
  <c r="D24" i="17"/>
  <c r="D35" i="17" s="1"/>
  <c r="D33" i="17"/>
  <c r="D36" i="17" s="1"/>
  <c r="E25" i="17"/>
  <c r="F17" i="17" s="1"/>
  <c r="E16" i="17"/>
  <c r="G20" i="17"/>
  <c r="G34" i="17" s="1"/>
  <c r="H21" i="17"/>
  <c r="G19" i="17"/>
  <c r="F26" i="17"/>
  <c r="V6" i="16" l="1"/>
  <c r="W6" i="16" s="1"/>
  <c r="T8" i="16"/>
  <c r="V7" i="16"/>
  <c r="D29" i="16"/>
  <c r="F28" i="16"/>
  <c r="L8" i="16"/>
  <c r="N5" i="16"/>
  <c r="H27" i="16"/>
  <c r="M6" i="16"/>
  <c r="N6" i="16" s="1"/>
  <c r="K7" i="16"/>
  <c r="J13" i="17"/>
  <c r="E33" i="17"/>
  <c r="E24" i="17"/>
  <c r="F15" i="17"/>
  <c r="H20" i="17"/>
  <c r="F25" i="17"/>
  <c r="G17" i="17" s="1"/>
  <c r="I22" i="17"/>
  <c r="H19" i="17"/>
  <c r="G26" i="17"/>
  <c r="H18" i="17" s="1"/>
  <c r="T9" i="16" l="1"/>
  <c r="V8" i="16"/>
  <c r="W7" i="16"/>
  <c r="D30" i="16"/>
  <c r="F29" i="16"/>
  <c r="G29" i="16" s="1"/>
  <c r="K8" i="16"/>
  <c r="M7" i="16"/>
  <c r="L9" i="16"/>
  <c r="G28" i="16"/>
  <c r="T20" i="17"/>
  <c r="K13" i="17"/>
  <c r="H26" i="17"/>
  <c r="I18" i="17" s="1"/>
  <c r="J22" i="17"/>
  <c r="I19" i="17"/>
  <c r="I20" i="17"/>
  <c r="I34" i="17" s="1"/>
  <c r="E36" i="17"/>
  <c r="E35" i="17"/>
  <c r="F16" i="17"/>
  <c r="G16" i="17"/>
  <c r="G25" i="17"/>
  <c r="H17" i="17" s="1"/>
  <c r="H34" i="17"/>
  <c r="F23" i="17"/>
  <c r="W8" i="16" l="1"/>
  <c r="V9" i="16"/>
  <c r="T10" i="16"/>
  <c r="L10" i="16"/>
  <c r="M8" i="16"/>
  <c r="N8" i="16" s="1"/>
  <c r="K9" i="16"/>
  <c r="N7" i="16"/>
  <c r="D31" i="16"/>
  <c r="F30" i="16"/>
  <c r="T34" i="17"/>
  <c r="L13" i="17"/>
  <c r="G15" i="17"/>
  <c r="H25" i="17"/>
  <c r="I26" i="17"/>
  <c r="J18" i="17" s="1"/>
  <c r="K21" i="17"/>
  <c r="L21" i="17" s="1"/>
  <c r="M21" i="17" s="1"/>
  <c r="J20" i="17"/>
  <c r="F24" i="17"/>
  <c r="F33" i="17"/>
  <c r="F36" i="17" s="1"/>
  <c r="J19" i="17"/>
  <c r="H16" i="17"/>
  <c r="G24" i="17"/>
  <c r="G33" i="17"/>
  <c r="G36" i="17" s="1"/>
  <c r="K22" i="17"/>
  <c r="N21" i="17" l="1"/>
  <c r="W9" i="16"/>
  <c r="V10" i="16"/>
  <c r="W10" i="16" s="1"/>
  <c r="T11" i="16"/>
  <c r="D32" i="16"/>
  <c r="F31" i="16"/>
  <c r="G31" i="16" s="1"/>
  <c r="G30" i="16"/>
  <c r="K10" i="16"/>
  <c r="M9" i="16"/>
  <c r="L11" i="16"/>
  <c r="M13" i="17"/>
  <c r="L22" i="17"/>
  <c r="F35" i="17"/>
  <c r="J26" i="17"/>
  <c r="K18" i="17" s="1"/>
  <c r="I25" i="17"/>
  <c r="J17" i="17" s="1"/>
  <c r="I16" i="17"/>
  <c r="G35" i="17"/>
  <c r="K20" i="17"/>
  <c r="K34" i="17" s="1"/>
  <c r="K19" i="17"/>
  <c r="J34" i="17"/>
  <c r="H24" i="17"/>
  <c r="H33" i="17"/>
  <c r="H36" i="17" s="1"/>
  <c r="G23" i="17"/>
  <c r="O21" i="17" l="1"/>
  <c r="V11" i="16"/>
  <c r="W11" i="16" s="1"/>
  <c r="T12" i="16"/>
  <c r="L12" i="16"/>
  <c r="M10" i="16"/>
  <c r="N10" i="16" s="1"/>
  <c r="K11" i="16"/>
  <c r="N9" i="16"/>
  <c r="D33" i="16"/>
  <c r="F32" i="16"/>
  <c r="G32" i="16" s="1"/>
  <c r="N13" i="17"/>
  <c r="L19" i="17"/>
  <c r="H35" i="17"/>
  <c r="J16" i="17"/>
  <c r="J25" i="17"/>
  <c r="K17" i="17" s="1"/>
  <c r="K26" i="17"/>
  <c r="L18" i="17" s="1"/>
  <c r="M22" i="17"/>
  <c r="H15" i="17"/>
  <c r="L20" i="17"/>
  <c r="I33" i="17"/>
  <c r="I36" i="17" s="1"/>
  <c r="I24" i="17"/>
  <c r="P21" i="17" l="1"/>
  <c r="V12" i="16"/>
  <c r="W12" i="16" s="1"/>
  <c r="T13" i="16"/>
  <c r="D34" i="16"/>
  <c r="F33" i="16"/>
  <c r="G33" i="16" s="1"/>
  <c r="M11" i="16"/>
  <c r="K12" i="16"/>
  <c r="L13" i="16"/>
  <c r="O13" i="17"/>
  <c r="H23" i="17"/>
  <c r="M19" i="17"/>
  <c r="L34" i="17"/>
  <c r="L26" i="17"/>
  <c r="M18" i="17" s="1"/>
  <c r="J24" i="17"/>
  <c r="J33" i="17"/>
  <c r="J36" i="17" s="1"/>
  <c r="K16" i="17"/>
  <c r="K25" i="17"/>
  <c r="L17" i="17" s="1"/>
  <c r="I35" i="17"/>
  <c r="N22" i="17"/>
  <c r="O22" i="17" s="1"/>
  <c r="P22" i="17" s="1"/>
  <c r="M20" i="17"/>
  <c r="M34" i="17" s="1"/>
  <c r="Q21" i="17" l="1"/>
  <c r="Q22" i="17"/>
  <c r="T14" i="16"/>
  <c r="V13" i="16"/>
  <c r="W13" i="16" s="1"/>
  <c r="D35" i="16"/>
  <c r="F34" i="16"/>
  <c r="G34" i="16" s="1"/>
  <c r="L14" i="16"/>
  <c r="N11" i="16"/>
  <c r="M12" i="16"/>
  <c r="N12" i="16" s="1"/>
  <c r="K13" i="16"/>
  <c r="P13" i="17"/>
  <c r="L16" i="17"/>
  <c r="L25" i="17"/>
  <c r="M17" i="17" s="1"/>
  <c r="J35" i="17"/>
  <c r="I15" i="17"/>
  <c r="N19" i="17"/>
  <c r="N20" i="17"/>
  <c r="N34" i="17" s="1"/>
  <c r="K24" i="17"/>
  <c r="K33" i="17"/>
  <c r="K36" i="17" s="1"/>
  <c r="M26" i="17"/>
  <c r="N18" i="17" s="1"/>
  <c r="F5" i="14"/>
  <c r="F7" i="14" s="1"/>
  <c r="J20" i="9" s="1"/>
  <c r="E5" i="14"/>
  <c r="E7" i="14" s="1"/>
  <c r="F20" i="9" s="1"/>
  <c r="D19" i="13"/>
  <c r="D16" i="13"/>
  <c r="E15" i="13"/>
  <c r="F15" i="13" s="1"/>
  <c r="G15" i="13" s="1"/>
  <c r="E4" i="13"/>
  <c r="F4" i="13" s="1"/>
  <c r="G4" i="13" s="1"/>
  <c r="E5" i="13"/>
  <c r="F5" i="13" s="1"/>
  <c r="G5" i="13" s="1"/>
  <c r="E6" i="13"/>
  <c r="F6" i="13" s="1"/>
  <c r="G6" i="13" s="1"/>
  <c r="E7" i="13"/>
  <c r="F7" i="13" s="1"/>
  <c r="G7" i="13" s="1"/>
  <c r="E8" i="13"/>
  <c r="F8" i="13" s="1"/>
  <c r="G8" i="13" s="1"/>
  <c r="E9" i="13"/>
  <c r="F9" i="13" s="1"/>
  <c r="G9" i="13" s="1"/>
  <c r="E10" i="13"/>
  <c r="F10" i="13" s="1"/>
  <c r="G10" i="13" s="1"/>
  <c r="E11" i="13"/>
  <c r="F11" i="13" s="1"/>
  <c r="G11" i="13" s="1"/>
  <c r="E12" i="13"/>
  <c r="F12" i="13" s="1"/>
  <c r="G12" i="13" s="1"/>
  <c r="E13" i="13"/>
  <c r="F13" i="13" s="1"/>
  <c r="G13" i="13" s="1"/>
  <c r="E14" i="13"/>
  <c r="F14" i="13" s="1"/>
  <c r="G14" i="13" s="1"/>
  <c r="E3" i="13"/>
  <c r="F3" i="13" s="1"/>
  <c r="Q20" i="17" l="1"/>
  <c r="Q34" i="17" s="1"/>
  <c r="G3" i="13"/>
  <c r="G16" i="13" s="1"/>
  <c r="F16" i="13"/>
  <c r="K20" i="9"/>
  <c r="K22" i="9" s="1"/>
  <c r="J22" i="9"/>
  <c r="G20" i="9"/>
  <c r="F22" i="9"/>
  <c r="R21" i="17"/>
  <c r="R20" i="17" s="1"/>
  <c r="R34" i="17" s="1"/>
  <c r="T15" i="16"/>
  <c r="V14" i="16"/>
  <c r="W14" i="16" s="1"/>
  <c r="D36" i="16"/>
  <c r="F35" i="16"/>
  <c r="G35" i="16" s="1"/>
  <c r="K14" i="16"/>
  <c r="M13" i="16"/>
  <c r="N13" i="16" s="1"/>
  <c r="L15" i="16"/>
  <c r="Q13" i="17"/>
  <c r="K35" i="17"/>
  <c r="O20" i="17"/>
  <c r="O34" i="17" s="1"/>
  <c r="O19" i="17"/>
  <c r="L24" i="17"/>
  <c r="L33" i="17"/>
  <c r="L36" i="17" s="1"/>
  <c r="N26" i="17"/>
  <c r="O18" i="17" s="1"/>
  <c r="I23" i="17"/>
  <c r="M25" i="17"/>
  <c r="N17" i="17" s="1"/>
  <c r="M16" i="17"/>
  <c r="P20" i="17"/>
  <c r="P34" i="17" s="1"/>
  <c r="H20" i="9" l="1"/>
  <c r="G22" i="9"/>
  <c r="C22" i="13"/>
  <c r="C21" i="13"/>
  <c r="S21" i="17"/>
  <c r="T16" i="16"/>
  <c r="V15" i="16"/>
  <c r="L16" i="16"/>
  <c r="K15" i="16"/>
  <c r="M14" i="16"/>
  <c r="N14" i="16" s="1"/>
  <c r="D37" i="16"/>
  <c r="F36" i="16"/>
  <c r="G36" i="16" s="1"/>
  <c r="R13" i="17"/>
  <c r="L35" i="17"/>
  <c r="N16" i="17"/>
  <c r="N25" i="17"/>
  <c r="O17" i="17" s="1"/>
  <c r="O26" i="17"/>
  <c r="P18" i="17" s="1"/>
  <c r="M33" i="17"/>
  <c r="M36" i="17" s="1"/>
  <c r="M24" i="17"/>
  <c r="J15" i="17"/>
  <c r="P19" i="17"/>
  <c r="W15" i="16" l="1"/>
  <c r="X15" i="16"/>
  <c r="I20" i="9"/>
  <c r="I22" i="9" s="1"/>
  <c r="H22" i="9"/>
  <c r="S20" i="17"/>
  <c r="T17" i="16"/>
  <c r="V16" i="16"/>
  <c r="D38" i="16"/>
  <c r="F37" i="16"/>
  <c r="G37" i="16" s="1"/>
  <c r="L17" i="16"/>
  <c r="K16" i="16"/>
  <c r="M15" i="16"/>
  <c r="S13" i="17"/>
  <c r="M35" i="17"/>
  <c r="O25" i="17"/>
  <c r="P17" i="17" s="1"/>
  <c r="Q19" i="17"/>
  <c r="P26" i="17"/>
  <c r="Q18" i="17" s="1"/>
  <c r="J23" i="17"/>
  <c r="N24" i="17"/>
  <c r="N33" i="17"/>
  <c r="N36" i="17" s="1"/>
  <c r="S34" i="17" l="1"/>
  <c r="U34" i="17" s="1"/>
  <c r="U20" i="17"/>
  <c r="W16" i="16"/>
  <c r="T18" i="16"/>
  <c r="V17" i="16"/>
  <c r="W17" i="16" s="1"/>
  <c r="M16" i="16"/>
  <c r="K17" i="16"/>
  <c r="L18" i="16"/>
  <c r="D39" i="16"/>
  <c r="F38" i="16"/>
  <c r="G38" i="16" s="1"/>
  <c r="O15" i="16"/>
  <c r="N15" i="16"/>
  <c r="T13" i="17"/>
  <c r="N35" i="17"/>
  <c r="O16" i="17"/>
  <c r="K15" i="17"/>
  <c r="R19" i="17"/>
  <c r="P25" i="17"/>
  <c r="Q17" i="17" s="1"/>
  <c r="Q26" i="17"/>
  <c r="R18" i="17" s="1"/>
  <c r="U36" i="17" l="1"/>
  <c r="T19" i="16"/>
  <c r="V18" i="16"/>
  <c r="D40" i="16"/>
  <c r="F39" i="16"/>
  <c r="N16" i="16"/>
  <c r="L19" i="16"/>
  <c r="K18" i="16"/>
  <c r="M17" i="16"/>
  <c r="N17" i="16" s="1"/>
  <c r="S19" i="17"/>
  <c r="O24" i="17"/>
  <c r="O33" i="17"/>
  <c r="O36" i="17" s="1"/>
  <c r="R26" i="17"/>
  <c r="S18" i="17" s="1"/>
  <c r="Q25" i="17"/>
  <c r="R17" i="17" s="1"/>
  <c r="K23" i="17"/>
  <c r="L20" i="9"/>
  <c r="L22" i="9" s="1"/>
  <c r="F13" i="9"/>
  <c r="G13" i="9" s="1"/>
  <c r="H13" i="9" s="1"/>
  <c r="I13" i="9" s="1"/>
  <c r="J13" i="9" s="1"/>
  <c r="K13" i="9" s="1"/>
  <c r="L13" i="9" s="1"/>
  <c r="G12" i="9"/>
  <c r="H12" i="9" s="1"/>
  <c r="I12" i="9" s="1"/>
  <c r="J12" i="9" s="1"/>
  <c r="K12" i="9" s="1"/>
  <c r="W18" i="16" l="1"/>
  <c r="V19" i="16"/>
  <c r="W19" i="16" s="1"/>
  <c r="T20" i="16"/>
  <c r="F40" i="16"/>
  <c r="D41" i="16"/>
  <c r="M18" i="16"/>
  <c r="N18" i="16" s="1"/>
  <c r="K19" i="16"/>
  <c r="G39" i="16"/>
  <c r="H39" i="16"/>
  <c r="L20" i="16"/>
  <c r="R25" i="17"/>
  <c r="S17" i="17" s="1"/>
  <c r="S26" i="17"/>
  <c r="O35" i="17"/>
  <c r="P16" i="17"/>
  <c r="L15" i="17"/>
  <c r="T19" i="17"/>
  <c r="V20" i="16" l="1"/>
  <c r="T21" i="16"/>
  <c r="G40" i="16"/>
  <c r="F41" i="16"/>
  <c r="G41" i="16" s="1"/>
  <c r="D42" i="16"/>
  <c r="L21" i="16"/>
  <c r="M19" i="16"/>
  <c r="K20" i="16"/>
  <c r="S25" i="17"/>
  <c r="T18" i="17"/>
  <c r="L23" i="17"/>
  <c r="P24" i="17"/>
  <c r="P33" i="17"/>
  <c r="P36" i="17" s="1"/>
  <c r="W20" i="16" l="1"/>
  <c r="T22" i="16"/>
  <c r="V21" i="16"/>
  <c r="W21" i="16" s="1"/>
  <c r="L22" i="16"/>
  <c r="F42" i="16"/>
  <c r="G42" i="16" s="1"/>
  <c r="D43" i="16"/>
  <c r="N19" i="16"/>
  <c r="M20" i="16"/>
  <c r="N20" i="16" s="1"/>
  <c r="K21" i="16"/>
  <c r="P35" i="17"/>
  <c r="Q16" i="17"/>
  <c r="M15" i="17"/>
  <c r="T17" i="17"/>
  <c r="T26" i="17"/>
  <c r="T23" i="16" l="1"/>
  <c r="V22" i="16"/>
  <c r="W22" i="16" s="1"/>
  <c r="K22" i="16"/>
  <c r="M21" i="16"/>
  <c r="N21" i="16" s="1"/>
  <c r="L23" i="16"/>
  <c r="F43" i="16"/>
  <c r="G43" i="16" s="1"/>
  <c r="D44" i="16"/>
  <c r="Q33" i="17"/>
  <c r="Q36" i="17" s="1"/>
  <c r="Q24" i="17"/>
  <c r="T25" i="17"/>
  <c r="M23" i="17"/>
  <c r="T24" i="16" l="1"/>
  <c r="V23" i="16"/>
  <c r="L24" i="16"/>
  <c r="M22" i="16"/>
  <c r="K23" i="16"/>
  <c r="F44" i="16"/>
  <c r="G44" i="16" s="1"/>
  <c r="D45" i="16"/>
  <c r="N15" i="17"/>
  <c r="R16" i="17"/>
  <c r="Q35" i="17"/>
  <c r="W23" i="16" l="1"/>
  <c r="T25" i="16"/>
  <c r="V25" i="16" s="1"/>
  <c r="W25" i="16" s="1"/>
  <c r="V24" i="16"/>
  <c r="W24" i="16" s="1"/>
  <c r="N22" i="16"/>
  <c r="F45" i="16"/>
  <c r="D46" i="16"/>
  <c r="M23" i="16"/>
  <c r="N23" i="16" s="1"/>
  <c r="K24" i="16"/>
  <c r="L25" i="16"/>
  <c r="R24" i="17"/>
  <c r="R33" i="17"/>
  <c r="R36" i="17" s="1"/>
  <c r="N23" i="17"/>
  <c r="T26" i="16" l="1"/>
  <c r="V26" i="16" s="1"/>
  <c r="W26" i="16" s="1"/>
  <c r="G45" i="16"/>
  <c r="F46" i="16"/>
  <c r="G46" i="16" s="1"/>
  <c r="D47" i="16"/>
  <c r="L26" i="16"/>
  <c r="M24" i="16"/>
  <c r="N24" i="16" s="1"/>
  <c r="K25" i="16"/>
  <c r="O15" i="17"/>
  <c r="R35" i="17"/>
  <c r="S16" i="17"/>
  <c r="T27" i="16" l="1"/>
  <c r="T28" i="16" s="1"/>
  <c r="L27" i="16"/>
  <c r="M25" i="16"/>
  <c r="N25" i="16" s="1"/>
  <c r="K26" i="16"/>
  <c r="F47" i="16"/>
  <c r="G47" i="16" s="1"/>
  <c r="D48" i="16"/>
  <c r="S24" i="17"/>
  <c r="S33" i="17"/>
  <c r="S36" i="17" s="1"/>
  <c r="O23" i="17"/>
  <c r="V27" i="16" l="1"/>
  <c r="T29" i="16"/>
  <c r="V28" i="16"/>
  <c r="F48" i="16"/>
  <c r="G48" i="16" s="1"/>
  <c r="D49" i="16"/>
  <c r="L28" i="16"/>
  <c r="K27" i="16"/>
  <c r="M26" i="16"/>
  <c r="N26" i="16" s="1"/>
  <c r="P15" i="17"/>
  <c r="S35" i="17"/>
  <c r="T16" i="17"/>
  <c r="W27" i="16" l="1"/>
  <c r="X27" i="16"/>
  <c r="W28" i="16"/>
  <c r="V29" i="16"/>
  <c r="W29" i="16" s="1"/>
  <c r="T30" i="16"/>
  <c r="L29" i="16"/>
  <c r="F49" i="16"/>
  <c r="G49" i="16" s="1"/>
  <c r="D50" i="16"/>
  <c r="K28" i="16"/>
  <c r="M27" i="16"/>
  <c r="T24" i="17"/>
  <c r="T35" i="17" s="1"/>
  <c r="T33" i="17"/>
  <c r="T36" i="17" s="1"/>
  <c r="P23" i="17"/>
  <c r="V30" i="16" l="1"/>
  <c r="T31" i="16"/>
  <c r="K29" i="16"/>
  <c r="M28" i="16"/>
  <c r="O27" i="16"/>
  <c r="N27" i="16"/>
  <c r="L30" i="16"/>
  <c r="F50" i="16"/>
  <c r="G50" i="16" s="1"/>
  <c r="D51" i="16"/>
  <c r="Q15" i="17"/>
  <c r="W30" i="16" l="1"/>
  <c r="V31" i="16"/>
  <c r="W31" i="16" s="1"/>
  <c r="T32" i="16"/>
  <c r="D52" i="16"/>
  <c r="F51" i="16"/>
  <c r="K30" i="16"/>
  <c r="M29" i="16"/>
  <c r="N29" i="16" s="1"/>
  <c r="N28" i="16"/>
  <c r="L31" i="16"/>
  <c r="Q23" i="17"/>
  <c r="V32" i="16" l="1"/>
  <c r="T33" i="16"/>
  <c r="K31" i="16"/>
  <c r="M30" i="16"/>
  <c r="N30" i="16" s="1"/>
  <c r="L32" i="16"/>
  <c r="D53" i="16"/>
  <c r="F52" i="16"/>
  <c r="G51" i="16"/>
  <c r="H51" i="16"/>
  <c r="R15" i="17"/>
  <c r="W32" i="16" l="1"/>
  <c r="V33" i="16"/>
  <c r="W33" i="16" s="1"/>
  <c r="T34" i="16"/>
  <c r="D54" i="16"/>
  <c r="F53" i="16"/>
  <c r="G53" i="16" s="1"/>
  <c r="G52" i="16"/>
  <c r="L33" i="16"/>
  <c r="K32" i="16"/>
  <c r="M31" i="16"/>
  <c r="R23" i="17"/>
  <c r="V34" i="16" l="1"/>
  <c r="T35" i="16"/>
  <c r="D55" i="16"/>
  <c r="F54" i="16"/>
  <c r="G54" i="16" s="1"/>
  <c r="K33" i="16"/>
  <c r="M32" i="16"/>
  <c r="N32" i="16" s="1"/>
  <c r="N31" i="16"/>
  <c r="L34" i="16"/>
  <c r="S15" i="17"/>
  <c r="W34" i="16" l="1"/>
  <c r="V35" i="16"/>
  <c r="W35" i="16" s="1"/>
  <c r="T36" i="16"/>
  <c r="D56" i="16"/>
  <c r="F55" i="16"/>
  <c r="L35" i="16"/>
  <c r="K34" i="16"/>
  <c r="M33" i="16"/>
  <c r="S23" i="17"/>
  <c r="V36" i="16" l="1"/>
  <c r="T37" i="16"/>
  <c r="K35" i="16"/>
  <c r="M34" i="16"/>
  <c r="N34" i="16" s="1"/>
  <c r="N33" i="16"/>
  <c r="D57" i="16"/>
  <c r="F56" i="16"/>
  <c r="G56" i="16" s="1"/>
  <c r="L36" i="16"/>
  <c r="G55" i="16"/>
  <c r="T15" i="17"/>
  <c r="W36" i="16" l="1"/>
  <c r="V37" i="16"/>
  <c r="W37" i="16" s="1"/>
  <c r="T38" i="16"/>
  <c r="D58" i="16"/>
  <c r="F57" i="16"/>
  <c r="K36" i="16"/>
  <c r="M35" i="16"/>
  <c r="N35" i="16" s="1"/>
  <c r="L37" i="16"/>
  <c r="T23" i="17"/>
  <c r="V38" i="16" l="1"/>
  <c r="T39" i="16"/>
  <c r="L38" i="16"/>
  <c r="D59" i="16"/>
  <c r="F58" i="16"/>
  <c r="G58" i="16" s="1"/>
  <c r="G57" i="16"/>
  <c r="K37" i="16"/>
  <c r="M36" i="16"/>
  <c r="N36" i="16" s="1"/>
  <c r="W38" i="16" l="1"/>
  <c r="V39" i="16"/>
  <c r="W39" i="16" s="1"/>
  <c r="T40" i="16"/>
  <c r="L39" i="16"/>
  <c r="K38" i="16"/>
  <c r="M37" i="16"/>
  <c r="N37" i="16" s="1"/>
  <c r="D60" i="16"/>
  <c r="F59" i="16"/>
  <c r="X39" i="16" l="1"/>
  <c r="V40" i="16"/>
  <c r="T41" i="16"/>
  <c r="K39" i="16"/>
  <c r="M38" i="16"/>
  <c r="N38" i="16" s="1"/>
  <c r="L40" i="16"/>
  <c r="D61" i="16"/>
  <c r="F60" i="16"/>
  <c r="G60" i="16" s="1"/>
  <c r="G59" i="16"/>
  <c r="W40" i="16" l="1"/>
  <c r="V41" i="16"/>
  <c r="W41" i="16" s="1"/>
  <c r="T42" i="16"/>
  <c r="D62" i="16"/>
  <c r="F61" i="16"/>
  <c r="G61" i="16" s="1"/>
  <c r="M39" i="16"/>
  <c r="K40" i="16"/>
  <c r="L41" i="16"/>
  <c r="V42" i="16" l="1"/>
  <c r="W42" i="16" s="1"/>
  <c r="T43" i="16"/>
  <c r="O39" i="16"/>
  <c r="N39" i="16"/>
  <c r="M40" i="16"/>
  <c r="K41" i="16"/>
  <c r="D63" i="16"/>
  <c r="F62" i="16"/>
  <c r="G62" i="16" s="1"/>
  <c r="L42" i="16"/>
  <c r="V43" i="16" l="1"/>
  <c r="W43" i="16" s="1"/>
  <c r="T44" i="16"/>
  <c r="N40" i="16"/>
  <c r="M41" i="16"/>
  <c r="N41" i="16" s="1"/>
  <c r="K42" i="16"/>
  <c r="F63" i="16"/>
  <c r="D64" i="16"/>
  <c r="L43" i="16"/>
  <c r="V44" i="16" l="1"/>
  <c r="T45" i="16"/>
  <c r="F64" i="16"/>
  <c r="D65" i="16"/>
  <c r="L44" i="16"/>
  <c r="M42" i="16"/>
  <c r="N42" i="16" s="1"/>
  <c r="K43" i="16"/>
  <c r="G63" i="16"/>
  <c r="H63" i="16"/>
  <c r="W44" i="16" l="1"/>
  <c r="V45" i="16"/>
  <c r="W45" i="16" s="1"/>
  <c r="T46" i="16"/>
  <c r="M43" i="16"/>
  <c r="N43" i="16" s="1"/>
  <c r="K44" i="16"/>
  <c r="G64" i="16"/>
  <c r="L45" i="16"/>
  <c r="D66" i="16"/>
  <c r="F65" i="16"/>
  <c r="G65" i="16" s="1"/>
  <c r="V46" i="16" l="1"/>
  <c r="W46" i="16" s="1"/>
  <c r="T47" i="16"/>
  <c r="D67" i="16"/>
  <c r="F66" i="16"/>
  <c r="L46" i="16"/>
  <c r="M44" i="16"/>
  <c r="K45" i="16"/>
  <c r="V47" i="16" l="1"/>
  <c r="T48" i="16"/>
  <c r="L47" i="16"/>
  <c r="D68" i="16"/>
  <c r="F67" i="16"/>
  <c r="G67" i="16" s="1"/>
  <c r="M45" i="16"/>
  <c r="N45" i="16" s="1"/>
  <c r="K46" i="16"/>
  <c r="N44" i="16"/>
  <c r="G66" i="16"/>
  <c r="W47" i="16" l="1"/>
  <c r="V48" i="16"/>
  <c r="W48" i="16" s="1"/>
  <c r="T49" i="16"/>
  <c r="M46" i="16"/>
  <c r="K47" i="16"/>
  <c r="L48" i="16"/>
  <c r="D69" i="16"/>
  <c r="F68" i="16"/>
  <c r="V49" i="16" l="1"/>
  <c r="W49" i="16" s="1"/>
  <c r="T50" i="16"/>
  <c r="L49" i="16"/>
  <c r="N46" i="16"/>
  <c r="M47" i="16"/>
  <c r="N47" i="16" s="1"/>
  <c r="K48" i="16"/>
  <c r="D70" i="16"/>
  <c r="F69" i="16"/>
  <c r="G69" i="16" s="1"/>
  <c r="G68" i="16"/>
  <c r="V50" i="16" l="1"/>
  <c r="W50" i="16" s="1"/>
  <c r="T51" i="16"/>
  <c r="L50" i="16"/>
  <c r="D71" i="16"/>
  <c r="F70" i="16"/>
  <c r="M48" i="16"/>
  <c r="N48" i="16" s="1"/>
  <c r="K49" i="16"/>
  <c r="V51" i="16" l="1"/>
  <c r="T52" i="16"/>
  <c r="M49" i="16"/>
  <c r="N49" i="16" s="1"/>
  <c r="K50" i="16"/>
  <c r="L51" i="16"/>
  <c r="D72" i="16"/>
  <c r="F71" i="16"/>
  <c r="G71" i="16" s="1"/>
  <c r="G70" i="16"/>
  <c r="W51" i="16" l="1"/>
  <c r="X51" i="16"/>
  <c r="V52" i="16"/>
  <c r="T53" i="16"/>
  <c r="L52" i="16"/>
  <c r="K51" i="16"/>
  <c r="M50" i="16"/>
  <c r="N50" i="16" s="1"/>
  <c r="D73" i="16"/>
  <c r="F72" i="16"/>
  <c r="W52" i="16" l="1"/>
  <c r="V53" i="16"/>
  <c r="W53" i="16" s="1"/>
  <c r="T54" i="16"/>
  <c r="D74" i="16"/>
  <c r="F73" i="16"/>
  <c r="G73" i="16" s="1"/>
  <c r="K52" i="16"/>
  <c r="M51" i="16"/>
  <c r="L53" i="16"/>
  <c r="G72" i="16"/>
  <c r="V54" i="16" l="1"/>
  <c r="T55" i="16"/>
  <c r="K53" i="16"/>
  <c r="M52" i="16"/>
  <c r="O51" i="16"/>
  <c r="N51" i="16"/>
  <c r="D75" i="16"/>
  <c r="F74" i="16"/>
  <c r="G74" i="16" s="1"/>
  <c r="L54" i="16"/>
  <c r="W54" i="16" l="1"/>
  <c r="V55" i="16"/>
  <c r="W55" i="16" s="1"/>
  <c r="T56" i="16"/>
  <c r="D76" i="16"/>
  <c r="F75" i="16"/>
  <c r="K54" i="16"/>
  <c r="M53" i="16"/>
  <c r="N53" i="16" s="1"/>
  <c r="L55" i="16"/>
  <c r="N52" i="16"/>
  <c r="V56" i="16" l="1"/>
  <c r="T57" i="16"/>
  <c r="F76" i="16"/>
  <c r="D77" i="16"/>
  <c r="G75" i="16"/>
  <c r="H75" i="16"/>
  <c r="K55" i="16"/>
  <c r="M54" i="16"/>
  <c r="L56" i="16"/>
  <c r="W56" i="16" l="1"/>
  <c r="V57" i="16"/>
  <c r="W57" i="16" s="1"/>
  <c r="T58" i="16"/>
  <c r="L57" i="16"/>
  <c r="K56" i="16"/>
  <c r="M55" i="16"/>
  <c r="N55" i="16" s="1"/>
  <c r="G76" i="16"/>
  <c r="N54" i="16"/>
  <c r="F77" i="16"/>
  <c r="G77" i="16" s="1"/>
  <c r="D78" i="16"/>
  <c r="V58" i="16" l="1"/>
  <c r="T59" i="16"/>
  <c r="K57" i="16"/>
  <c r="M56" i="16"/>
  <c r="N56" i="16" s="1"/>
  <c r="L58" i="16"/>
  <c r="F78" i="16"/>
  <c r="G78" i="16" s="1"/>
  <c r="D79" i="16"/>
  <c r="W58" i="16" l="1"/>
  <c r="V59" i="16"/>
  <c r="W59" i="16" s="1"/>
  <c r="T60" i="16"/>
  <c r="L59" i="16"/>
  <c r="K58" i="16"/>
  <c r="M57" i="16"/>
  <c r="F79" i="16"/>
  <c r="D80" i="16"/>
  <c r="V60" i="16" l="1"/>
  <c r="T61" i="16"/>
  <c r="K59" i="16"/>
  <c r="M58" i="16"/>
  <c r="N58" i="16" s="1"/>
  <c r="N57" i="16"/>
  <c r="G79" i="16"/>
  <c r="L60" i="16"/>
  <c r="F80" i="16"/>
  <c r="G80" i="16" s="1"/>
  <c r="D81" i="16"/>
  <c r="W60" i="16" l="1"/>
  <c r="V61" i="16"/>
  <c r="W61" i="16" s="1"/>
  <c r="T62" i="16"/>
  <c r="L61" i="16"/>
  <c r="K60" i="16"/>
  <c r="M59" i="16"/>
  <c r="F81" i="16"/>
  <c r="D82" i="16"/>
  <c r="V62" i="16" l="1"/>
  <c r="T63" i="16"/>
  <c r="G81" i="16"/>
  <c r="K61" i="16"/>
  <c r="M60" i="16"/>
  <c r="N60" i="16" s="1"/>
  <c r="N59" i="16"/>
  <c r="F82" i="16"/>
  <c r="G82" i="16" s="1"/>
  <c r="D83" i="16"/>
  <c r="L62" i="16"/>
  <c r="W62" i="16" l="1"/>
  <c r="V63" i="16"/>
  <c r="W63" i="16" s="1"/>
  <c r="T64" i="16"/>
  <c r="F83" i="16"/>
  <c r="G83" i="16" s="1"/>
  <c r="D84" i="16"/>
  <c r="L63" i="16"/>
  <c r="K62" i="16"/>
  <c r="M61" i="16"/>
  <c r="N61" i="16" s="1"/>
  <c r="X63" i="16" l="1"/>
  <c r="V64" i="16"/>
  <c r="T65" i="16"/>
  <c r="L64" i="16"/>
  <c r="K63" i="16"/>
  <c r="M62" i="16"/>
  <c r="N62" i="16" s="1"/>
  <c r="F84" i="16"/>
  <c r="G84" i="16" s="1"/>
  <c r="D85" i="16"/>
  <c r="W64" i="16" l="1"/>
  <c r="V65" i="16"/>
  <c r="W65" i="16" s="1"/>
  <c r="T66" i="16"/>
  <c r="K64" i="16"/>
  <c r="M63" i="16"/>
  <c r="F85" i="16"/>
  <c r="G85" i="16" s="1"/>
  <c r="D86" i="16"/>
  <c r="L65" i="16"/>
  <c r="V66" i="16" l="1"/>
  <c r="T67" i="16"/>
  <c r="M64" i="16"/>
  <c r="K65" i="16"/>
  <c r="F86" i="16"/>
  <c r="G86" i="16" s="1"/>
  <c r="D87" i="16"/>
  <c r="O63" i="16"/>
  <c r="N63" i="16"/>
  <c r="L66" i="16"/>
  <c r="W66" i="16" l="1"/>
  <c r="V67" i="16"/>
  <c r="W67" i="16" s="1"/>
  <c r="T68" i="16"/>
  <c r="L67" i="16"/>
  <c r="N64" i="16"/>
  <c r="D88" i="16"/>
  <c r="F87" i="16"/>
  <c r="K66" i="16"/>
  <c r="M65" i="16"/>
  <c r="N65" i="16" s="1"/>
  <c r="V68" i="16" l="1"/>
  <c r="T69" i="16"/>
  <c r="K67" i="16"/>
  <c r="M66" i="16"/>
  <c r="N66" i="16" s="1"/>
  <c r="L68" i="16"/>
  <c r="D89" i="16"/>
  <c r="F88" i="16"/>
  <c r="G87" i="16"/>
  <c r="H87" i="16"/>
  <c r="W68" i="16" l="1"/>
  <c r="V69" i="16"/>
  <c r="W69" i="16" s="1"/>
  <c r="T70" i="16"/>
  <c r="G88" i="16"/>
  <c r="L69" i="16"/>
  <c r="K68" i="16"/>
  <c r="M67" i="16"/>
  <c r="D90" i="16"/>
  <c r="F89" i="16"/>
  <c r="G89" i="16" s="1"/>
  <c r="V70" i="16" l="1"/>
  <c r="T71" i="16"/>
  <c r="K69" i="16"/>
  <c r="M68" i="16"/>
  <c r="N68" i="16" s="1"/>
  <c r="D91" i="16"/>
  <c r="F90" i="16"/>
  <c r="G90" i="16" s="1"/>
  <c r="N67" i="16"/>
  <c r="L70" i="16"/>
  <c r="W70" i="16" l="1"/>
  <c r="V71" i="16"/>
  <c r="W71" i="16" s="1"/>
  <c r="T72" i="16"/>
  <c r="K70" i="16"/>
  <c r="M69" i="16"/>
  <c r="N69" i="16" s="1"/>
  <c r="L71" i="16"/>
  <c r="D92" i="16"/>
  <c r="F91" i="16"/>
  <c r="G91" i="16" s="1"/>
  <c r="V72" i="16" l="1"/>
  <c r="T73" i="16"/>
  <c r="L72" i="16"/>
  <c r="K71" i="16"/>
  <c r="M70" i="16"/>
  <c r="D93" i="16"/>
  <c r="F92" i="16"/>
  <c r="G92" i="16" s="1"/>
  <c r="W72" i="16" l="1"/>
  <c r="V73" i="16"/>
  <c r="W73" i="16" s="1"/>
  <c r="T74" i="16"/>
  <c r="D94" i="16"/>
  <c r="F93" i="16"/>
  <c r="G93" i="16" s="1"/>
  <c r="K72" i="16"/>
  <c r="M71" i="16"/>
  <c r="N71" i="16" s="1"/>
  <c r="L73" i="16"/>
  <c r="N70" i="16"/>
  <c r="V74" i="16" l="1"/>
  <c r="T75" i="16"/>
  <c r="K73" i="16"/>
  <c r="M72" i="16"/>
  <c r="N72" i="16" s="1"/>
  <c r="D95" i="16"/>
  <c r="F94" i="16"/>
  <c r="G94" i="16" s="1"/>
  <c r="L74" i="16"/>
  <c r="W74" i="16" l="1"/>
  <c r="V75" i="16"/>
  <c r="W75" i="16" s="1"/>
  <c r="T76" i="16"/>
  <c r="K74" i="16"/>
  <c r="M73" i="16"/>
  <c r="N73" i="16" s="1"/>
  <c r="L75" i="16"/>
  <c r="D96" i="16"/>
  <c r="F95" i="16"/>
  <c r="G95" i="16" s="1"/>
  <c r="X75" i="16" l="1"/>
  <c r="V76" i="16"/>
  <c r="T77" i="16"/>
  <c r="D97" i="16"/>
  <c r="F96" i="16"/>
  <c r="G96" i="16" s="1"/>
  <c r="K75" i="16"/>
  <c r="M74" i="16"/>
  <c r="N74" i="16" s="1"/>
  <c r="L76" i="16"/>
  <c r="W76" i="16" l="1"/>
  <c r="V77" i="16"/>
  <c r="W77" i="16" s="1"/>
  <c r="T78" i="16"/>
  <c r="K76" i="16"/>
  <c r="M75" i="16"/>
  <c r="D98" i="16"/>
  <c r="F97" i="16"/>
  <c r="G97" i="16" s="1"/>
  <c r="L77" i="16"/>
  <c r="V78" i="16" l="1"/>
  <c r="T79" i="16"/>
  <c r="D99" i="16"/>
  <c r="F98" i="16"/>
  <c r="G98" i="16" s="1"/>
  <c r="L78" i="16"/>
  <c r="M76" i="16"/>
  <c r="K77" i="16"/>
  <c r="O75" i="16"/>
  <c r="N75" i="16"/>
  <c r="W78" i="16" l="1"/>
  <c r="V79" i="16"/>
  <c r="W79" i="16" s="1"/>
  <c r="T80" i="16"/>
  <c r="N76" i="16"/>
  <c r="M77" i="16"/>
  <c r="N77" i="16" s="1"/>
  <c r="K78" i="16"/>
  <c r="D100" i="16"/>
  <c r="F99" i="16"/>
  <c r="L79" i="16"/>
  <c r="V80" i="16" l="1"/>
  <c r="T81" i="16"/>
  <c r="L80" i="16"/>
  <c r="G99" i="16"/>
  <c r="H99" i="16"/>
  <c r="M78" i="16"/>
  <c r="N78" i="16" s="1"/>
  <c r="K79" i="16"/>
  <c r="F100" i="16"/>
  <c r="D101" i="16"/>
  <c r="W80" i="16" l="1"/>
  <c r="V81" i="16"/>
  <c r="W81" i="16" s="1"/>
  <c r="T82" i="16"/>
  <c r="G100" i="16"/>
  <c r="M79" i="16"/>
  <c r="N79" i="16" s="1"/>
  <c r="K80" i="16"/>
  <c r="L81" i="16"/>
  <c r="F101" i="16"/>
  <c r="G101" i="16" s="1"/>
  <c r="D102" i="16"/>
  <c r="V82" i="16" l="1"/>
  <c r="T83" i="16"/>
  <c r="L82" i="16"/>
  <c r="D103" i="16"/>
  <c r="F102" i="16"/>
  <c r="G102" i="16" s="1"/>
  <c r="M80" i="16"/>
  <c r="K81" i="16"/>
  <c r="W82" i="16" l="1"/>
  <c r="V83" i="16"/>
  <c r="W83" i="16" s="1"/>
  <c r="T84" i="16"/>
  <c r="L83" i="16"/>
  <c r="M81" i="16"/>
  <c r="N81" i="16" s="1"/>
  <c r="K82" i="16"/>
  <c r="N80" i="16"/>
  <c r="F103" i="16"/>
  <c r="G103" i="16" s="1"/>
  <c r="D104" i="16"/>
  <c r="V84" i="16" l="1"/>
  <c r="T85" i="16"/>
  <c r="F104" i="16"/>
  <c r="D105" i="16"/>
  <c r="M82" i="16"/>
  <c r="K83" i="16"/>
  <c r="L84" i="16"/>
  <c r="W84" i="16" l="1"/>
  <c r="V85" i="16"/>
  <c r="W85" i="16" s="1"/>
  <c r="T86" i="16"/>
  <c r="G104" i="16"/>
  <c r="F105" i="16"/>
  <c r="G105" i="16" s="1"/>
  <c r="D106" i="16"/>
  <c r="M83" i="16"/>
  <c r="N83" i="16" s="1"/>
  <c r="K84" i="16"/>
  <c r="L85" i="16"/>
  <c r="N82" i="16"/>
  <c r="V86" i="16" l="1"/>
  <c r="T87" i="16"/>
  <c r="L86" i="16"/>
  <c r="D107" i="16"/>
  <c r="F106" i="16"/>
  <c r="G106" i="16" s="1"/>
  <c r="M84" i="16"/>
  <c r="N84" i="16" s="1"/>
  <c r="K85" i="16"/>
  <c r="W86" i="16" l="1"/>
  <c r="V87" i="16"/>
  <c r="W87" i="16" s="1"/>
  <c r="T88" i="16"/>
  <c r="F107" i="16"/>
  <c r="G107" i="16" s="1"/>
  <c r="D108" i="16"/>
  <c r="M85" i="16"/>
  <c r="N85" i="16" s="1"/>
  <c r="K86" i="16"/>
  <c r="L87" i="16"/>
  <c r="X87" i="16" l="1"/>
  <c r="V88" i="16"/>
  <c r="T89" i="16"/>
  <c r="M86" i="16"/>
  <c r="N86" i="16" s="1"/>
  <c r="K87" i="16"/>
  <c r="L88" i="16"/>
  <c r="F108" i="16"/>
  <c r="G108" i="16" s="1"/>
  <c r="D109" i="16"/>
  <c r="W88" i="16" l="1"/>
  <c r="V89" i="16"/>
  <c r="W89" i="16" s="1"/>
  <c r="T90" i="16"/>
  <c r="L89" i="16"/>
  <c r="K88" i="16"/>
  <c r="M87" i="16"/>
  <c r="F109" i="16"/>
  <c r="G109" i="16" s="1"/>
  <c r="D110" i="16"/>
  <c r="V90" i="16" l="1"/>
  <c r="W90" i="16" s="1"/>
  <c r="T91" i="16"/>
  <c r="K89" i="16"/>
  <c r="M88" i="16"/>
  <c r="L90" i="16"/>
  <c r="D111" i="16"/>
  <c r="F110" i="16"/>
  <c r="G110" i="16" s="1"/>
  <c r="O87" i="16"/>
  <c r="N87" i="16"/>
  <c r="V91" i="16" l="1"/>
  <c r="T92" i="16"/>
  <c r="D112" i="16"/>
  <c r="F111" i="16"/>
  <c r="L91" i="16"/>
  <c r="K90" i="16"/>
  <c r="M89" i="16"/>
  <c r="N89" i="16" s="1"/>
  <c r="N88" i="16"/>
  <c r="W91" i="16" l="1"/>
  <c r="V92" i="16"/>
  <c r="W92" i="16" s="1"/>
  <c r="T93" i="16"/>
  <c r="L92" i="16"/>
  <c r="D113" i="16"/>
  <c r="F112" i="16"/>
  <c r="G111" i="16"/>
  <c r="H111" i="16"/>
  <c r="K91" i="16"/>
  <c r="M90" i="16"/>
  <c r="V93" i="16" l="1"/>
  <c r="T94" i="16"/>
  <c r="K92" i="16"/>
  <c r="M91" i="16"/>
  <c r="N91" i="16" s="1"/>
  <c r="N90" i="16"/>
  <c r="F113" i="16"/>
  <c r="G113" i="16" s="1"/>
  <c r="D114" i="16"/>
  <c r="L93" i="16"/>
  <c r="G112" i="16"/>
  <c r="W93" i="16" l="1"/>
  <c r="V94" i="16"/>
  <c r="W94" i="16" s="1"/>
  <c r="T95" i="16"/>
  <c r="K93" i="16"/>
  <c r="M92" i="16"/>
  <c r="F114" i="16"/>
  <c r="G114" i="16" s="1"/>
  <c r="D115" i="16"/>
  <c r="L94" i="16"/>
  <c r="V95" i="16" l="1"/>
  <c r="T96" i="16"/>
  <c r="K94" i="16"/>
  <c r="M93" i="16"/>
  <c r="N93" i="16" s="1"/>
  <c r="F115" i="16"/>
  <c r="D116" i="16"/>
  <c r="L95" i="16"/>
  <c r="N92" i="16"/>
  <c r="W95" i="16" l="1"/>
  <c r="V96" i="16"/>
  <c r="W96" i="16" s="1"/>
  <c r="T97" i="16"/>
  <c r="K95" i="16"/>
  <c r="M94" i="16"/>
  <c r="L96" i="16"/>
  <c r="G115" i="16"/>
  <c r="D117" i="16"/>
  <c r="F116" i="16"/>
  <c r="G116" i="16" s="1"/>
  <c r="V97" i="16" l="1"/>
  <c r="T98" i="16"/>
  <c r="K96" i="16"/>
  <c r="M95" i="16"/>
  <c r="N95" i="16" s="1"/>
  <c r="F117" i="16"/>
  <c r="G117" i="16" s="1"/>
  <c r="D118" i="16"/>
  <c r="L97" i="16"/>
  <c r="N94" i="16"/>
  <c r="W97" i="16" l="1"/>
  <c r="V98" i="16"/>
  <c r="W98" i="16" s="1"/>
  <c r="T99" i="16"/>
  <c r="K97" i="16"/>
  <c r="M96" i="16"/>
  <c r="N96" i="16" s="1"/>
  <c r="F118" i="16"/>
  <c r="D119" i="16"/>
  <c r="L98" i="16"/>
  <c r="V99" i="16" l="1"/>
  <c r="T100" i="16"/>
  <c r="K98" i="16"/>
  <c r="M97" i="16"/>
  <c r="N97" i="16" s="1"/>
  <c r="L99" i="16"/>
  <c r="L100" i="16" s="1"/>
  <c r="L101" i="16" s="1"/>
  <c r="L102" i="16" s="1"/>
  <c r="L103" i="16" s="1"/>
  <c r="L104" i="16" s="1"/>
  <c r="L105" i="16" s="1"/>
  <c r="L106" i="16" s="1"/>
  <c r="L107" i="16" s="1"/>
  <c r="L108" i="16" s="1"/>
  <c r="L109" i="16" s="1"/>
  <c r="L110" i="16" s="1"/>
  <c r="L111" i="16" s="1"/>
  <c r="L112" i="16" s="1"/>
  <c r="L113" i="16" s="1"/>
  <c r="L114" i="16" s="1"/>
  <c r="L115" i="16" s="1"/>
  <c r="L116" i="16" s="1"/>
  <c r="L117" i="16" s="1"/>
  <c r="L118" i="16" s="1"/>
  <c r="L119" i="16" s="1"/>
  <c r="L120" i="16" s="1"/>
  <c r="L121" i="16" s="1"/>
  <c r="L122" i="16" s="1"/>
  <c r="L123" i="16" s="1"/>
  <c r="L136" i="16" s="1"/>
  <c r="M146" i="16" s="1"/>
  <c r="G118" i="16"/>
  <c r="F119" i="16"/>
  <c r="G119" i="16" s="1"/>
  <c r="D120" i="16"/>
  <c r="W99" i="16" l="1"/>
  <c r="X99" i="16"/>
  <c r="V100" i="16"/>
  <c r="T101" i="16"/>
  <c r="K99" i="16"/>
  <c r="M98" i="16"/>
  <c r="N98" i="16" s="1"/>
  <c r="D121" i="16"/>
  <c r="F120" i="16"/>
  <c r="G120" i="16" s="1"/>
  <c r="W100" i="16" l="1"/>
  <c r="V101" i="16"/>
  <c r="W101" i="16" s="1"/>
  <c r="T102" i="16"/>
  <c r="F121" i="16"/>
  <c r="G121" i="16" s="1"/>
  <c r="D122" i="16"/>
  <c r="L137" i="16"/>
  <c r="K100" i="16"/>
  <c r="M99" i="16"/>
  <c r="V102" i="16" l="1"/>
  <c r="T103" i="16"/>
  <c r="O99" i="16"/>
  <c r="N99" i="16"/>
  <c r="M100" i="16"/>
  <c r="K101" i="16"/>
  <c r="F122" i="16"/>
  <c r="G122" i="16" s="1"/>
  <c r="D123" i="16"/>
  <c r="W102" i="16" l="1"/>
  <c r="V103" i="16"/>
  <c r="W103" i="16" s="1"/>
  <c r="T104" i="16"/>
  <c r="N100" i="16"/>
  <c r="K102" i="16"/>
  <c r="M101" i="16"/>
  <c r="N101" i="16" s="1"/>
  <c r="F123" i="16"/>
  <c r="D124" i="16"/>
  <c r="V104" i="16" l="1"/>
  <c r="T105" i="16"/>
  <c r="K103" i="16"/>
  <c r="M102" i="16"/>
  <c r="N102" i="16" s="1"/>
  <c r="F124" i="16"/>
  <c r="D125" i="16"/>
  <c r="G123" i="16"/>
  <c r="H123" i="16"/>
  <c r="W104" i="16" l="1"/>
  <c r="V105" i="16"/>
  <c r="W105" i="16" s="1"/>
  <c r="T106" i="16"/>
  <c r="F125" i="16"/>
  <c r="G125" i="16" s="1"/>
  <c r="D126" i="16"/>
  <c r="M103" i="16"/>
  <c r="K104" i="16"/>
  <c r="G124" i="16"/>
  <c r="V106" i="16" l="1"/>
  <c r="T107" i="16"/>
  <c r="N103" i="16"/>
  <c r="M104" i="16"/>
  <c r="N104" i="16" s="1"/>
  <c r="K105" i="16"/>
  <c r="D127" i="16"/>
  <c r="F126" i="16"/>
  <c r="G126" i="16" s="1"/>
  <c r="W106" i="16" l="1"/>
  <c r="V107" i="16"/>
  <c r="W107" i="16" s="1"/>
  <c r="T108" i="16"/>
  <c r="F127" i="16"/>
  <c r="D128" i="16"/>
  <c r="K106" i="16"/>
  <c r="M105" i="16"/>
  <c r="N105" i="16" s="1"/>
  <c r="V108" i="16" l="1"/>
  <c r="T109" i="16"/>
  <c r="K107" i="16"/>
  <c r="M106" i="16"/>
  <c r="N106" i="16" s="1"/>
  <c r="G127" i="16"/>
  <c r="F128" i="16"/>
  <c r="G128" i="16" s="1"/>
  <c r="D129" i="16"/>
  <c r="W108" i="16" l="1"/>
  <c r="V109" i="16"/>
  <c r="W109" i="16" s="1"/>
  <c r="T110" i="16"/>
  <c r="M107" i="16"/>
  <c r="N107" i="16" s="1"/>
  <c r="K108" i="16"/>
  <c r="F129" i="16"/>
  <c r="G129" i="16" s="1"/>
  <c r="D130" i="16"/>
  <c r="V110" i="16" l="1"/>
  <c r="T111" i="16"/>
  <c r="D131" i="16"/>
  <c r="F130" i="16"/>
  <c r="M108" i="16"/>
  <c r="N108" i="16" s="1"/>
  <c r="K109" i="16"/>
  <c r="W110" i="16" l="1"/>
  <c r="V111" i="16"/>
  <c r="W111" i="16" s="1"/>
  <c r="T112" i="16"/>
  <c r="F131" i="16"/>
  <c r="G131" i="16" s="1"/>
  <c r="D132" i="16"/>
  <c r="K110" i="16"/>
  <c r="M109" i="16"/>
  <c r="N109" i="16" s="1"/>
  <c r="G130" i="16"/>
  <c r="X111" i="16" l="1"/>
  <c r="V112" i="16"/>
  <c r="T113" i="16"/>
  <c r="K111" i="16"/>
  <c r="M110" i="16"/>
  <c r="N110" i="16" s="1"/>
  <c r="F132" i="16"/>
  <c r="G132" i="16" s="1"/>
  <c r="D133" i="16"/>
  <c r="W112" i="16" l="1"/>
  <c r="V113" i="16"/>
  <c r="W113" i="16" s="1"/>
  <c r="T114" i="16"/>
  <c r="K112" i="16"/>
  <c r="M111" i="16"/>
  <c r="F133" i="16"/>
  <c r="G133" i="16" s="1"/>
  <c r="D134" i="16"/>
  <c r="V114" i="16" l="1"/>
  <c r="T115" i="16"/>
  <c r="K113" i="16"/>
  <c r="M112" i="16"/>
  <c r="D135" i="16"/>
  <c r="F134" i="16"/>
  <c r="G134" i="16" s="1"/>
  <c r="N111" i="16"/>
  <c r="O111" i="16"/>
  <c r="W114" i="16" l="1"/>
  <c r="V115" i="16"/>
  <c r="W115" i="16" s="1"/>
  <c r="T116" i="16"/>
  <c r="D136" i="16"/>
  <c r="F135" i="16"/>
  <c r="M113" i="16"/>
  <c r="N113" i="16" s="1"/>
  <c r="K114" i="16"/>
  <c r="N112" i="16"/>
  <c r="V116" i="16" l="1"/>
  <c r="T117" i="16"/>
  <c r="D137" i="16"/>
  <c r="F136" i="16"/>
  <c r="G135" i="16"/>
  <c r="H135" i="16"/>
  <c r="M114" i="16"/>
  <c r="N114" i="16" s="1"/>
  <c r="K115" i="16"/>
  <c r="W116" i="16" l="1"/>
  <c r="V117" i="16"/>
  <c r="W117" i="16" s="1"/>
  <c r="T118" i="16"/>
  <c r="D138" i="16"/>
  <c r="F137" i="16"/>
  <c r="G137" i="16" s="1"/>
  <c r="G136" i="16"/>
  <c r="K116" i="16"/>
  <c r="M115" i="16"/>
  <c r="N115" i="16" s="1"/>
  <c r="V118" i="16" l="1"/>
  <c r="T119" i="16"/>
  <c r="F138" i="16"/>
  <c r="D139" i="16"/>
  <c r="K117" i="16"/>
  <c r="M116" i="16"/>
  <c r="W118" i="16" l="1"/>
  <c r="V119" i="16"/>
  <c r="W119" i="16" s="1"/>
  <c r="T120" i="16"/>
  <c r="G138" i="16"/>
  <c r="N116" i="16"/>
  <c r="F139" i="16"/>
  <c r="G139" i="16" s="1"/>
  <c r="D140" i="16"/>
  <c r="M117" i="16"/>
  <c r="N117" i="16" s="1"/>
  <c r="K118" i="16"/>
  <c r="V120" i="16" l="1"/>
  <c r="T121" i="16"/>
  <c r="M118" i="16"/>
  <c r="N118" i="16" s="1"/>
  <c r="K119" i="16"/>
  <c r="F140" i="16"/>
  <c r="G140" i="16" s="1"/>
  <c r="D141" i="16"/>
  <c r="W120" i="16" l="1"/>
  <c r="V121" i="16"/>
  <c r="W121" i="16" s="1"/>
  <c r="T122" i="16"/>
  <c r="F141" i="16"/>
  <c r="G141" i="16" s="1"/>
  <c r="D142" i="16"/>
  <c r="K120" i="16"/>
  <c r="M119" i="16"/>
  <c r="N119" i="16" s="1"/>
  <c r="V122" i="16" l="1"/>
  <c r="T123" i="16"/>
  <c r="F142" i="16"/>
  <c r="D143" i="16"/>
  <c r="K121" i="16"/>
  <c r="M120" i="16"/>
  <c r="N120" i="16" s="1"/>
  <c r="W122" i="16" l="1"/>
  <c r="V123" i="16"/>
  <c r="W123" i="16" s="1"/>
  <c r="T124" i="16"/>
  <c r="M121" i="16"/>
  <c r="N121" i="16" s="1"/>
  <c r="K122" i="16"/>
  <c r="G142" i="16"/>
  <c r="F143" i="16"/>
  <c r="G143" i="16" s="1"/>
  <c r="D144" i="16"/>
  <c r="X123" i="16" l="1"/>
  <c r="V124" i="16"/>
  <c r="T125" i="16"/>
  <c r="F144" i="16"/>
  <c r="D145" i="16"/>
  <c r="M122" i="16"/>
  <c r="N122" i="16" s="1"/>
  <c r="K123" i="16"/>
  <c r="W124" i="16" l="1"/>
  <c r="V125" i="16"/>
  <c r="W125" i="16" s="1"/>
  <c r="T126" i="16"/>
  <c r="F145" i="16"/>
  <c r="D146" i="16"/>
  <c r="G144" i="16"/>
  <c r="M123" i="16"/>
  <c r="V126" i="16" l="1"/>
  <c r="T127" i="16"/>
  <c r="G145" i="16"/>
  <c r="D147" i="16"/>
  <c r="F147" i="16" s="1"/>
  <c r="G147" i="16" s="1"/>
  <c r="F146" i="16"/>
  <c r="G146" i="16" s="1"/>
  <c r="N123" i="16"/>
  <c r="N136" i="16" s="1"/>
  <c r="M136" i="16"/>
  <c r="O123" i="16"/>
  <c r="O136" i="16" s="1"/>
  <c r="G148" i="16" l="1"/>
  <c r="O146" i="16" s="1"/>
  <c r="W126" i="16"/>
  <c r="F148" i="16"/>
  <c r="N146" i="16" s="1"/>
  <c r="V127" i="16"/>
  <c r="W127" i="16" s="1"/>
  <c r="T128" i="16"/>
  <c r="H147" i="16"/>
  <c r="N137" i="16"/>
  <c r="V128" i="16" l="1"/>
  <c r="T129" i="16"/>
  <c r="H148" i="16"/>
  <c r="W128" i="16" l="1"/>
  <c r="V129" i="16"/>
  <c r="W129" i="16" s="1"/>
  <c r="T130" i="16"/>
  <c r="V130" i="16" l="1"/>
  <c r="T131" i="16"/>
  <c r="W130" i="16" l="1"/>
  <c r="V131" i="16"/>
  <c r="W131" i="16" s="1"/>
  <c r="T132" i="16"/>
  <c r="V132" i="16" l="1"/>
  <c r="T133" i="16"/>
  <c r="W132" i="16" l="1"/>
  <c r="V133" i="16"/>
  <c r="W133" i="16" s="1"/>
  <c r="T134" i="16"/>
  <c r="V134" i="16" l="1"/>
  <c r="T135" i="16"/>
  <c r="W134" i="16" l="1"/>
  <c r="V135" i="16"/>
  <c r="W135" i="16" s="1"/>
  <c r="T136" i="16"/>
  <c r="X135" i="16" l="1"/>
  <c r="V136" i="16"/>
  <c r="T137" i="16"/>
  <c r="W136" i="16" l="1"/>
  <c r="V137" i="16"/>
  <c r="W137" i="16" s="1"/>
  <c r="T138" i="16"/>
  <c r="V138" i="16" l="1"/>
  <c r="T139" i="16"/>
  <c r="W138" i="16" l="1"/>
  <c r="V139" i="16"/>
  <c r="W139" i="16" s="1"/>
  <c r="T140" i="16"/>
  <c r="V140" i="16" l="1"/>
  <c r="T141" i="16"/>
  <c r="W140" i="16" l="1"/>
  <c r="V141" i="16"/>
  <c r="W141" i="16" s="1"/>
  <c r="T142" i="16"/>
  <c r="V142" i="16" l="1"/>
  <c r="T143" i="16"/>
  <c r="W142" i="16" l="1"/>
  <c r="V143" i="16"/>
  <c r="W143" i="16" s="1"/>
  <c r="T144" i="16"/>
  <c r="V144" i="16" l="1"/>
  <c r="T145" i="16"/>
  <c r="W144" i="16" l="1"/>
  <c r="V145" i="16"/>
  <c r="W145" i="16" s="1"/>
  <c r="T146" i="16"/>
  <c r="V146" i="16" l="1"/>
  <c r="T147" i="16"/>
  <c r="V147" i="16" s="1"/>
  <c r="W146" i="16" l="1"/>
  <c r="X146" i="16"/>
  <c r="X148" i="16" s="1"/>
  <c r="V148" i="16"/>
  <c r="W147" i="16"/>
  <c r="W148" i="1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Игорь</author>
  </authors>
  <commentList>
    <comment ref="D2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ввод в эксплуатацию 1.10.2017
</t>
        </r>
      </text>
    </comment>
  </commentList>
</comments>
</file>

<file path=xl/sharedStrings.xml><?xml version="1.0" encoding="utf-8"?>
<sst xmlns="http://schemas.openxmlformats.org/spreadsheetml/2006/main" count="1753" uniqueCount="406">
  <si>
    <t>итого</t>
  </si>
  <si>
    <t>№ п/п</t>
  </si>
  <si>
    <t>1</t>
  </si>
  <si>
    <t>Гкал</t>
  </si>
  <si>
    <t>-</t>
  </si>
  <si>
    <t>4.1</t>
  </si>
  <si>
    <t>4.2</t>
  </si>
  <si>
    <t>5.1</t>
  </si>
  <si>
    <t>5.2</t>
  </si>
  <si>
    <t>5.3</t>
  </si>
  <si>
    <t>5.4</t>
  </si>
  <si>
    <t>6.1</t>
  </si>
  <si>
    <t>%</t>
  </si>
  <si>
    <t>6.2</t>
  </si>
  <si>
    <t>6.3</t>
  </si>
  <si>
    <t>6.4</t>
  </si>
  <si>
    <t>7.1</t>
  </si>
  <si>
    <t>7.2</t>
  </si>
  <si>
    <t>7.3</t>
  </si>
  <si>
    <t>7.4</t>
  </si>
  <si>
    <t>№
п/п</t>
  </si>
  <si>
    <t>Единицы измерения</t>
  </si>
  <si>
    <t>Всего:</t>
  </si>
  <si>
    <t>в том числе:</t>
  </si>
  <si>
    <t>2.1</t>
  </si>
  <si>
    <t>Наименование показателя</t>
  </si>
  <si>
    <t>Ед. изм.</t>
  </si>
  <si>
    <t>1.</t>
  </si>
  <si>
    <t>2.1.1</t>
  </si>
  <si>
    <t>2.1.2</t>
  </si>
  <si>
    <t>Инвестиционная программа</t>
  </si>
  <si>
    <t>Паспорт инвестиционной программы организации, осуществляющей</t>
  </si>
  <si>
    <t>регулируемые виды деятельности в сфере теплоснабжения</t>
  </si>
  <si>
    <t xml:space="preserve"> (наименование регулируемой организации)</t>
  </si>
  <si>
    <t>Наименование регулируемой организации, в отношении которой разрабатывается инвестиционная программа в сфере теплоснабжения</t>
  </si>
  <si>
    <t>Местонахождение регулируемой организации</t>
  </si>
  <si>
    <t>Сроки реализации инвестиционной программы</t>
  </si>
  <si>
    <t>Лицо, ответственное за разработку инвестиционной программы</t>
  </si>
  <si>
    <t>Контакты ответственных за разработку инвестиционной программы лиц</t>
  </si>
  <si>
    <t>Наименование исполнительного органа субъекта Российской Федерации или органа местного самоуправления, утвердившего инвестиционную программу</t>
  </si>
  <si>
    <t>Департамент энергетики и тарифов Ивановской области</t>
  </si>
  <si>
    <t>Местонахождение исполнительного органа субъекта Российской Федерации или органа местного самоуправления, утвердившего инвестиционную программу</t>
  </si>
  <si>
    <t>153022, г. Иваново ул. Велижская, 8</t>
  </si>
  <si>
    <t>Должностное лицо уполномоченного ответственного органа, утвердившее инвестиционную программу</t>
  </si>
  <si>
    <t>Контакты ответственных за утверждение инвестиционной программы лиц</t>
  </si>
  <si>
    <t>Тел./факс: (4932) 93-85-93</t>
  </si>
  <si>
    <t>Наименование органа местного самоуправления, согласовавшего инвестиционную программу</t>
  </si>
  <si>
    <t>Местонахождение органа местного самоуправления, согласовавшего инвестиционную программу</t>
  </si>
  <si>
    <t>Должностное лицо уполномоченного ответственного органа, согласовавшее инвестиционную программу</t>
  </si>
  <si>
    <t>Контакты ответственных за согласование инвестиционной программы лиц</t>
  </si>
  <si>
    <t>N п/п</t>
  </si>
  <si>
    <t>Наименование мероприятий</t>
  </si>
  <si>
    <t>Кадастровый номер объекта (участка объекта)</t>
  </si>
  <si>
    <t>Вид объекта</t>
  </si>
  <si>
    <t>Описание и место расположения объекта</t>
  </si>
  <si>
    <t>Основные технические характеристики</t>
  </si>
  <si>
    <t>Год начала реализации</t>
  </si>
  <si>
    <t>Год окончания реализации</t>
  </si>
  <si>
    <t>Расходы на реализацию мероприятий в прогнозных ценах, тыс. руб. без НДС</t>
  </si>
  <si>
    <t>Наименование и значение показателя</t>
  </si>
  <si>
    <t>Плановые расходы</t>
  </si>
  <si>
    <t>Финансирование, в т.ч. по годам</t>
  </si>
  <si>
    <t>Остаток финансирования</t>
  </si>
  <si>
    <t>Амортизация (стр. 1.1 ФП)</t>
  </si>
  <si>
    <t>Прибыль, направленная на инвестиции (стр. 1.2 ФП)</t>
  </si>
  <si>
    <t>Средства, полученные за счет платы за подключение (стр. 1.3 ФП)</t>
  </si>
  <si>
    <t>Прочие собственные средства (стр. 1.4 ФП)</t>
  </si>
  <si>
    <t>Экономия расходов (стр. 1.5 ФП)</t>
  </si>
  <si>
    <t>Расходы на оплату лизинговых платежей по договору финансовой аренды (лизинга) (стр. 1.6 ФП)</t>
  </si>
  <si>
    <t>Иные собственные средства (стр. 2 ФП)</t>
  </si>
  <si>
    <t>Бюджетные средства по каждой системе 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 (стр. 4 ФП)</t>
  </si>
  <si>
    <t>Прочие источники финансирования (стр. 5 ФП)</t>
  </si>
  <si>
    <t>до реализации мероприятия</t>
  </si>
  <si>
    <t>после реализации мероприятия</t>
  </si>
  <si>
    <t>Тепловая сеть</t>
  </si>
  <si>
    <t>Тепловая нагрузка, Гкал/ч</t>
  </si>
  <si>
    <t>в результате реализации мероприятий инвестиционной программы</t>
  </si>
  <si>
    <t>связанную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энергосервисного договора (контракта) в размере, определенном по решению регулируемой организации, плату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</t>
  </si>
  <si>
    <t>Условный диаметр, мм</t>
  </si>
  <si>
    <t>Пропускная способность, т/ч</t>
  </si>
  <si>
    <t>Протяженность (в однотрубном исчислении), км</t>
  </si>
  <si>
    <t>Способ прокладки</t>
  </si>
  <si>
    <t>ПИР</t>
  </si>
  <si>
    <t>СМР</t>
  </si>
  <si>
    <t>6.5</t>
  </si>
  <si>
    <t>7.5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</si>
  <si>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</si>
  <si>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</si>
  <si>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</si>
  <si>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</si>
  <si>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</si>
  <si>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</si>
  <si>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</si>
  <si>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</si>
  <si>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</si>
  <si>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</si>
  <si>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</si>
  <si>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</si>
  <si>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11.1</t>
  </si>
  <si>
    <t>11.2</t>
  </si>
  <si>
    <t>11.3</t>
  </si>
  <si>
    <t>11.4</t>
  </si>
  <si>
    <t>11.5.1</t>
  </si>
  <si>
    <t>11.5.2</t>
  </si>
  <si>
    <t>11.6</t>
  </si>
  <si>
    <t>11.7</t>
  </si>
  <si>
    <t>11.8</t>
  </si>
  <si>
    <t>11.9</t>
  </si>
  <si>
    <t>11.10</t>
  </si>
  <si>
    <t>Группа 1. Строительство, реконструкция или модернизация объектов в целях подключения потребителей:</t>
  </si>
  <si>
    <t>1.1. Строительство новых тепловых сетей в целях подключения потребителей</t>
  </si>
  <si>
    <t>1.1.1</t>
  </si>
  <si>
    <t>1.1.2</t>
  </si>
  <si>
    <t>1.2. Строительство иных объектов системы централизованного теплоснабжения, за исключением тепловых сетей, в целях подключения потребителей</t>
  </si>
  <si>
    <t>1.2.1</t>
  </si>
  <si>
    <t>1.2.2</t>
  </si>
  <si>
    <t>1.3. Увеличение пропускной способности существующих тепловых сетей в целях подключения потребителей</t>
  </si>
  <si>
    <t>1.3.1</t>
  </si>
  <si>
    <t>1.3.2</t>
  </si>
  <si>
    <t>1.4. Увеличение мощности и производительности существующих объектов централизованного теплоснабжения, за исключением тепловых сетей, в целях подключения потребителей</t>
  </si>
  <si>
    <t>1.4.1</t>
  </si>
  <si>
    <t>1.4.2</t>
  </si>
  <si>
    <t>Всего по группе 1</t>
  </si>
  <si>
    <t>Группа 2. Строительство новых объектов системы централизованного теплоснабжения, не связанных с подключением новых потребителей, в том числе строительство новых тепловых сетей</t>
  </si>
  <si>
    <t>2.2</t>
  </si>
  <si>
    <t>Всего по группе 2</t>
  </si>
  <si>
    <t>Группа 3. Реконструкция или модернизация существующих объектов централизованного теплоснабжения в целях снижения уровня износа существующих объектов системы централизованного теплоснабжения и (или) поставки энергии от разных источников</t>
  </si>
  <si>
    <t>3.1. Реконструкция или модернизация существующих тепловых сетей</t>
  </si>
  <si>
    <t>3.1.1</t>
  </si>
  <si>
    <t>3.1.2</t>
  </si>
  <si>
    <t>3.2. Реконструкция или модернизация существующих объектов системы централизованного теплоснабжения, за исключением тепловых сетей</t>
  </si>
  <si>
    <t>3.2.1</t>
  </si>
  <si>
    <t>Линейный объект</t>
  </si>
  <si>
    <t>Всего по группе 3</t>
  </si>
  <si>
    <t>Группа 4. Мероприятия, направленные на снижение негативного воздействия на окружающую среду, достижение плановых значений показателей надежности и энергетической эффективности объектов теплоснабжения, повышение эффективности работы систем централизованного теплоснабжения</t>
  </si>
  <si>
    <t>Всего по группе 4</t>
  </si>
  <si>
    <t>Группа 5. Вывод из эксплуатации, консервация и демонтаж объектов системы централизованного теплоснабжения</t>
  </si>
  <si>
    <t>5.1. Вывод из эксплуатации, консервация и демонтаж тепловых сетей</t>
  </si>
  <si>
    <t>5.1.1</t>
  </si>
  <si>
    <t>5.1.2</t>
  </si>
  <si>
    <t>5.2. Вывод из эксплуатации, консервация и демонтаж иных объектов системы централизованного теплоснабжения, за исключением тепловых сетей</t>
  </si>
  <si>
    <t>5.2.1</t>
  </si>
  <si>
    <t>5.2.2</t>
  </si>
  <si>
    <t>Всего по группе 5</t>
  </si>
  <si>
    <t>Группа 6. Мероприятия, предусматривающие капитальные вложения в объекты основных средств и нематериальные активы регулируемой организации, обусловленные необходимостью соблюдения регулируемыми организациями обязательных требований, установленных законодательством Российской Федерации и связанных с осуществлением деятельности в сфере теплоснабжения, включая мероприятия по обеспечению безопасности и антитеррористической защищенности объектов топливно-энергетического комплекса, безопасности критической информационной инфраструктуры.</t>
  </si>
  <si>
    <t>6.1.1</t>
  </si>
  <si>
    <t>6.1.2</t>
  </si>
  <si>
    <t>Всего по группе 6</t>
  </si>
  <si>
    <t>ИТОГО по программе</t>
  </si>
  <si>
    <t>ООО «КЭС-Верхняя Волга» с. Мыт</t>
  </si>
  <si>
    <t>в сфере теплоснабжения на 2024-2040 годы</t>
  </si>
  <si>
    <t xml:space="preserve"> Реконструкция существующего участка тепловой сети от Котельной № 4 до У-1 Ду 108 мм без изменений Ду, (протяженностью 4,5 м в двухтрубном исполнении, надземная прокладка)  </t>
  </si>
  <si>
    <t xml:space="preserve"> Реконструкция существующего участка тепловой сети от У-1 до У-2 Ду 108 мм без изменений Ду, (протяженностью 77,6 м в двухтрубном исполнении, надземная прокладка) (рядом со строением по адресу Садовая ул.,д. 22а) </t>
  </si>
  <si>
    <t xml:space="preserve"> Реконструкция существующего участка тепловой сети от У-2 до У-3 Ду 108 мм без изменений Ду, (протяженностью 60,0 м в двухтрубном исполнении, надземная прокладка) (вдоль строения по адресу Садовая ул., д.22а до ч/д по адресу Садовая ул.,д.16) </t>
  </si>
  <si>
    <t xml:space="preserve"> Реконструкция существующего участка тепловой сети от У-3 до У-4 Ду 108 мм без изменений Ду, (протяженностью 17,2 м в двухтрубном исполнении, надземная прокладка) (компенсатор проходящий через дорогу рядом с ч/д по ул.Садовой, д. 16) </t>
  </si>
  <si>
    <t xml:space="preserve"> Реконструкция существующего участка тепловой сети от У-4 до У-5 Ду 108 мм без изменений Ду, (протяженностью 31,0 м в двухтрубном исполнении, надземная прокладка) (участок проходящий по ул.Садовой) </t>
  </si>
  <si>
    <t xml:space="preserve"> Реконструкция существующего участка тепловой сети от У-7 до ул. Садовая, д.хх Ду 57 мм без изменений Ду, (протяженностью 11,0 м в двухтрубном исполнении, надземная прокладка) (участок проходящий по ул.Садовая вдоль ч/д) </t>
  </si>
  <si>
    <t xml:space="preserve"> Реконструкция существующего участка тепловой сети от У-7 до У-8 Ду 108 мм без изменений Ду, (протяженностью 47,0 м в двухтрубном исполнении, надземная прокладка) (участок проходящий по ул.Садовая вдоль ч/д) </t>
  </si>
  <si>
    <t xml:space="preserve"> Реконструкция существующего участка тепловой сети от У-6 до У-7 Ду 108 мм без изменений Ду, (протяженностью 40,0 м в двухтрубном исполнении, надземная прокладка) (участок проходящий по ул.Садовая вдоль ч/д) </t>
  </si>
  <si>
    <t xml:space="preserve"> Реконструкция существующего участка тепловой сети от У-5 до У-6 Ду 89 мм без изменений Ду, (протяженностью 7,0 м в двухтрубном исполнении, надземная прокладка) (участок проходящий по ул.Садовая вдоль ч/д) </t>
  </si>
  <si>
    <t xml:space="preserve"> Реконструкция существующего участка тепловой сети от У-8 до У-9 Ду 108 мм без изменений Ду, (протяженностью 14,5 м в двухтрубном исполнении, надземная прокладка) (рядом со школой по адресу ул. Садовая, д. 26) </t>
  </si>
  <si>
    <t xml:space="preserve"> Реконструкция существующего участка тепловой сети от У-9 до ТК-1 Ду 108 мм без изменений Ду, (протяженностью 15 м в двухтрубном исполнении, надземная прокладка) (по территории школы по адресу ул. Садовая, д. 26) </t>
  </si>
  <si>
    <t xml:space="preserve"> Реконструкция существующего участка тепловой сети от ТК-1 до ул. Садовая, д. 26 (Школа) Ду 108 мм без изменений Ду, (протяженностью 11,7 м в двухтрубном исполнении, подземная канальная прокладка) (по территории школы по адресу ул. Садовая, д. 26) </t>
  </si>
  <si>
    <t>Кадастровый номер 37:01:010110:2426</t>
  </si>
  <si>
    <t xml:space="preserve">  от Котельной № 4 до У-1 Ду 108 мм без изменений Ду, (протяженностью 4,5 м в двухтрубном исполнении, надземная прокладка)  </t>
  </si>
  <si>
    <t xml:space="preserve"> от У-1 до У-2 Ду 108 мм без изменений Ду, (протяженностью 77,6 м в двухтрубном исполнении, надземная прокладка) (рядом со строением по адресу Садовая ул.,д. 22а) </t>
  </si>
  <si>
    <t xml:space="preserve">  от У-2 до У-3 Ду 108 мм без изменений Ду, (протяженностью 60,0 м в двухтрубном исполнении, надземная прокладка) (вдоль строения по адресу Садовая ул., д.22а до ч/д по адресу Садовая ул.,д.16) </t>
  </si>
  <si>
    <t xml:space="preserve">  от У-3 до У-4 Ду 108 мм без изменений Ду, (протяженностью 17,2 м в двухтрубном исполнении, надземная прокладка) (компенсатор проходящий через дорогу рядом с ч/д по ул.Садовой, д. 16) </t>
  </si>
  <si>
    <t xml:space="preserve">от У-4 до У-5 Ду 108 мм без изменений Ду, (протяженностью 31,0 м в двухтрубном исполнении, надземная прокладка) (участок проходящий по ул.Садовой) </t>
  </si>
  <si>
    <t xml:space="preserve">от У-7 до ул. Садовая, д.хх Ду 57 мм без изменений Ду, (протяженностью 11,0 м в двухтрубном исполнении, надземная прокладка) (участок проходящий по ул.Садовая вдоль ч/д) </t>
  </si>
  <si>
    <t xml:space="preserve"> от У-7 до У-8 Ду 108 мм без изменений Ду, (протяженностью 47,0 м в двухтрубном исполнении, надземная прокладка) (участок проходящий по ул.Садовая вдоль ч/д) </t>
  </si>
  <si>
    <t xml:space="preserve"> от У-6 до У-7 Ду 108 мм без изменений Ду, (протяженностью 40,0 м в двухтрубном исполнении, надземная прокладка) (участок проходящий по ул.Садовая вдоль ч/д) </t>
  </si>
  <si>
    <t xml:space="preserve">от У-8 до У-9 Ду 108 мм без изменений Ду, (протяженностью 14,5 м в двухтрубном исполнении, надземная прокладка) (рядом со школой по адресу ул. Садовая, д. 26) </t>
  </si>
  <si>
    <t xml:space="preserve">от У-9 до ТК-1 Ду 108 мм без изменений Ду, (протяженностью 15 м в двухтрубном исполнении, надземная прокладка) (по территории школы по адресу ул. Садовая, д. 26) </t>
  </si>
  <si>
    <t xml:space="preserve">от ТК-1 до ул. Садовая, д. 26 (Школа) Ду 108 мм без изменений Ду, (протяженностью 11,7 м в двухтрубном исполнении, подземная канальная прокладка) (по территории школы по адресу ул. Садовая, д. 26) </t>
  </si>
  <si>
    <t xml:space="preserve">надземная </t>
  </si>
  <si>
    <t xml:space="preserve">подземная канальная </t>
  </si>
  <si>
    <t>Кадастровый номер 37:01:010110:2430</t>
  </si>
  <si>
    <t>2030-2040</t>
  </si>
  <si>
    <t>3.1.3</t>
  </si>
  <si>
    <t>3.1.4</t>
  </si>
  <si>
    <t>3.1.5</t>
  </si>
  <si>
    <t>3.1.6</t>
  </si>
  <si>
    <t>3.1.7</t>
  </si>
  <si>
    <t>3.1.8</t>
  </si>
  <si>
    <t>3.1.9</t>
  </si>
  <si>
    <t>3.1.10</t>
  </si>
  <si>
    <t>3.1.11</t>
  </si>
  <si>
    <t>3.1.12</t>
  </si>
  <si>
    <t xml:space="preserve"> Реконструкция тепломеханиче-ской части котельной (за-мена агрегатов котлового хо-зяйства - замена существующих котлов КВа – 0,4 Гн (2 шт.) на котлы Rossen RS-D400 (2 шт)) в котельной №4 с. Мыт </t>
  </si>
  <si>
    <t>Кадастровый номер 37-37-10/032/2010-124</t>
  </si>
  <si>
    <t xml:space="preserve">Котельная № 4 , Ивановская обл., Верхнеландеховский р-н, с. Мыт, ул. Садовая д.28А </t>
  </si>
  <si>
    <t>Плановые значения показателей, достижение которых предусмотрено в результате реализации мероприятий инвестиционной программы</t>
  </si>
  <si>
    <t>(наименование регулируемой организации)</t>
  </si>
  <si>
    <t>Фактические значения</t>
  </si>
  <si>
    <t>Утвержденное значение на 2023 год</t>
  </si>
  <si>
    <t>Плановые значения</t>
  </si>
  <si>
    <t>в т.ч. по годам реализации</t>
  </si>
  <si>
    <t>Удельный расход электрической энергии на транспортировку теплоносителя</t>
  </si>
  <si>
    <t>кВт·ч/м3</t>
  </si>
  <si>
    <t>Удельный расход условного топлива на выработку единицы тепловой энергии и (или) теплоносителя</t>
  </si>
  <si>
    <t>т.у.т./Гкал</t>
  </si>
  <si>
    <t>т.у.т./м3</t>
  </si>
  <si>
    <t>Объем присоединяемой тепловой нагрузки новых потребителей</t>
  </si>
  <si>
    <t>Гкал/ч</t>
  </si>
  <si>
    <t>Процент износа объектов системы теплоснабжения с выделением процента износа объектов, существующих на начало реализации инвестиционной программы</t>
  </si>
  <si>
    <t>Потери тепловой энергии при передаче тепловой энергии по тепловым сетям</t>
  </si>
  <si>
    <t>Гкал в год</t>
  </si>
  <si>
    <t>% от полезного отпуска тепловой энергии</t>
  </si>
  <si>
    <t>Потери теплоносителя при передаче тепловой энергии по тепловым сетям</t>
  </si>
  <si>
    <t>тонн в год для воды</t>
  </si>
  <si>
    <t>куб. м для пара</t>
  </si>
  <si>
    <t xml:space="preserve">ООО «КЭС – Верхняя Волга» </t>
  </si>
  <si>
    <t>Производство тепловой энергии</t>
  </si>
  <si>
    <t>2.</t>
  </si>
  <si>
    <t>3.</t>
  </si>
  <si>
    <t>3.1.</t>
  </si>
  <si>
    <t>3.2.</t>
  </si>
  <si>
    <t>3.3.</t>
  </si>
  <si>
    <t>4.</t>
  </si>
  <si>
    <t>5.</t>
  </si>
  <si>
    <t>Направление показателя</t>
  </si>
  <si>
    <t>До модернизации (начальный период инвестиционной программы)</t>
  </si>
  <si>
    <t>После модернизации (конечный период инвестиционной программы</t>
  </si>
  <si>
    <t>Отпуск тепловой энергии в сеть</t>
  </si>
  <si>
    <t>Потери при передаче тепловой энергии</t>
  </si>
  <si>
    <t>Доля потерь при передаче тепловой энергии</t>
  </si>
  <si>
    <t>Отпуск тепловой энергии из сети</t>
  </si>
  <si>
    <t xml:space="preserve">Показатели надежности и энергетической эффективности объектов централизованного теплоснабжения </t>
  </si>
  <si>
    <t>Наименование объекта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</si>
  <si>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</si>
  <si>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Текущее значение</t>
  </si>
  <si>
    <t>Плановое значение</t>
  </si>
  <si>
    <t>Источники финансирования</t>
  </si>
  <si>
    <t>Всего</t>
  </si>
  <si>
    <t>Собственные средства</t>
  </si>
  <si>
    <t>амортизационные отчисления с выделением результатов переоценки основных средств и нематериальных активов</t>
  </si>
  <si>
    <t>расходы на капитальные вложения (инвестиции), финансируемые за счет нормативной прибыли, учитываемой в необходимой валовой выручке</t>
  </si>
  <si>
    <t>достигнутая в результате реализации мероприятий инвестиционной программы</t>
  </si>
  <si>
    <t>плата за подключение (технологическое присоединение) к системам централизованного теплоснабжения (раздельно по каждой системе, если регулируемая организация эксплуатирует несколько таких систем)</t>
  </si>
  <si>
    <t>расходы на уплату лизинговых платежей по договору финансовой аренды (лизинга)</t>
  </si>
  <si>
    <t>Иные собственные средства, за исключением средств, указанных в разделе 1</t>
  </si>
  <si>
    <t>Средства, привлеченные на возвратной основе</t>
  </si>
  <si>
    <t>кредиты</t>
  </si>
  <si>
    <t>прочие привлеченные средства</t>
  </si>
  <si>
    <t>Прочие источники финансирования</t>
  </si>
  <si>
    <t>Источники возврата вложенных средств</t>
  </si>
  <si>
    <t>Стоимость, тыс.руб.</t>
  </si>
  <si>
    <t>7-10 лет 5 группа</t>
  </si>
  <si>
    <t xml:space="preserve">Замена дымососов: установка 2х дымососов с частотными преобразованителями. </t>
  </si>
  <si>
    <t xml:space="preserve">Модернизация системы ХВО – установка новой автоматической Na-кат. установки </t>
  </si>
  <si>
    <t xml:space="preserve">Реконструкция крыши здания котельной </t>
  </si>
  <si>
    <t>Норма амортизации, %</t>
  </si>
  <si>
    <t>Балансовая стоимость ОС на начало периода</t>
  </si>
  <si>
    <t>В т. ч. балансовая стоимость объектов инвестирования на начало периода</t>
  </si>
  <si>
    <t>Начисленная амортизация ОС</t>
  </si>
  <si>
    <t>В т. ч. начисленная амортизация по объектам инвестирования</t>
  </si>
  <si>
    <t>Балансовая стоимость ОС на конец периода</t>
  </si>
  <si>
    <t>В т. ч. балансовая стоимость объектов инвестирования на конец периода</t>
  </si>
  <si>
    <t xml:space="preserve">без ндс </t>
  </si>
  <si>
    <t>Показатель</t>
  </si>
  <si>
    <t>Балансовая стоимость объектов инвестирования на начало периода, тыс.руб. (без НДС)</t>
  </si>
  <si>
    <t>Начисленная амортизация по объектам инвестирования 5 амортизационной группы (СПИ 8 лет), тыс.руб. (без НДС)</t>
  </si>
  <si>
    <t>Балансовая стоимость объектов инвестирования на конец периода, тыс.руб. (без НДС)</t>
  </si>
  <si>
    <t>Реконструкция тепловых сетей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</si>
  <si>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</si>
  <si>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</si>
  <si>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</si>
  <si>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</si>
  <si>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</si>
  <si>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</si>
  <si>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</si>
  <si>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</si>
  <si>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</si>
  <si>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</si>
  <si>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</si>
  <si>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</si>
  <si>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Привлеченные средства на возвратной основе (стр 3 ФП)</t>
  </si>
  <si>
    <t>Форма № 5-ИП ТС</t>
  </si>
  <si>
    <t>Финансовый план инвестиционной программы в сфере теплоснабжения</t>
  </si>
  <si>
    <t>По мероприятиям, согласно Формы № 2-ИП ТС</t>
  </si>
  <si>
    <t>в т.ч. по видам деятельности</t>
  </si>
  <si>
    <t>Передача тепловой энергии</t>
  </si>
  <si>
    <t>1.1.</t>
  </si>
  <si>
    <t>1.2.</t>
  </si>
  <si>
    <t>1.3.</t>
  </si>
  <si>
    <t>Экономия расходов</t>
  </si>
  <si>
    <t>1.3.1.</t>
  </si>
  <si>
    <t>1.3.2.</t>
  </si>
  <si>
    <t>связанная с сокращением потерь в тепловых сетях, сменой видов и (или) марки основного и (или) резервного топлива на источниках тепловой энергии, реализацией энергосервесного договора (контракта) в размере, определенном по решению регулируемой организации</t>
  </si>
  <si>
    <t>1.4.</t>
  </si>
  <si>
    <t>1.5.</t>
  </si>
  <si>
    <t>займы организаций, в т.ч.</t>
  </si>
  <si>
    <t>Бюджетные средства по каждой системе ццентрализованного теплоснабжения с выделением расходов концедента на строительство, модернизацию и (или) реконструкцию объекта концессионного соглашения по каждой системе централизованного теплоснабжения при наличии таких расходов</t>
  </si>
  <si>
    <t>амортизационные отчисления, в том числе:</t>
  </si>
  <si>
    <t>средства, полученные за счет платы за подключение</t>
  </si>
  <si>
    <t>прочие собственные средства, в т.ч. средства от эмиссии ценных бумаг</t>
  </si>
  <si>
    <t>Бюджетное финансирование</t>
  </si>
  <si>
    <t>Средства концедента</t>
  </si>
  <si>
    <t>ООО "КЭС-Верхняя Волга"</t>
  </si>
  <si>
    <t>на 2024-2040 годы</t>
  </si>
  <si>
    <t>прибыль, направленная на инвестиции</t>
  </si>
  <si>
    <t>1.1.1.1</t>
  </si>
  <si>
    <t>1.1.1.2</t>
  </si>
  <si>
    <t>1.1.1.3</t>
  </si>
  <si>
    <t>1.1.1.4</t>
  </si>
  <si>
    <t>1.1.1.5</t>
  </si>
  <si>
    <t>1.1.1.6</t>
  </si>
  <si>
    <t>1.1.1.7</t>
  </si>
  <si>
    <t>1.1.1.8</t>
  </si>
  <si>
    <t>1.1.1.9</t>
  </si>
  <si>
    <t>1.1.1.10</t>
  </si>
  <si>
    <t>1.1.1.11</t>
  </si>
  <si>
    <t>1.1.1.12</t>
  </si>
  <si>
    <t>1.1.1.13</t>
  </si>
  <si>
    <t>Расходы на реализацию инвестиционной программы (тыс. руб., НДС не облагается) (с использованием прогнозных индексов цен)</t>
  </si>
  <si>
    <t>Общество с ограниченной ответственностью «Коммунальные энергетические системы – Верхняя Волга»</t>
  </si>
  <si>
    <t>155210, Ивановская обл., п. Верхний Ландех, ул. Западная, д. 30</t>
  </si>
  <si>
    <t>2024 - 2040 гг.</t>
  </si>
  <si>
    <t>Директор ООО «КЭС – Верхняя Волга» Маринин Дмитрий Александрович</t>
  </si>
  <si>
    <t>Тел./факс: 8 (4932) 93-88-63</t>
  </si>
  <si>
    <t>Член Правительства Ивановской области – директор Департамента энергетики и тарифов Ивановской области Морева Е.Н.</t>
  </si>
  <si>
    <t>Администрация Верхнеландеховского муниципального района Ивановской области</t>
  </si>
  <si>
    <t>155210, Ивановская область, п. Верхний Ландех, ул. Первомайская, д. 3</t>
  </si>
  <si>
    <t>Смирнова Н.Н., Глава Верхнеландеховского муниципального района Ивановской области</t>
  </si>
  <si>
    <t>Тел./факс: 8 (49349) 2-12-04</t>
  </si>
  <si>
    <t>Показатели, характеризующие снижение негативного воздействия на окружающую среду, определяемые в соответствии с законодательством РФ об охране окружающей среды:</t>
  </si>
  <si>
    <t>7.1.</t>
  </si>
  <si>
    <t>Содержание в уходящих газах СО</t>
  </si>
  <si>
    <t>7.2.</t>
  </si>
  <si>
    <t>7.3.</t>
  </si>
  <si>
    <t>Содержание в уходящих газах NOx</t>
  </si>
  <si>
    <r>
      <t>Содержание в уходящих газах СО</t>
    </r>
    <r>
      <rPr>
        <vertAlign val="subscript"/>
        <sz val="10"/>
        <rFont val="Times New Roman"/>
        <family val="1"/>
        <charset val="204"/>
      </rPr>
      <t>2</t>
    </r>
  </si>
  <si>
    <t>в соответствии с законодательством РФ об охране окружающей среды</t>
  </si>
  <si>
    <t>5.5</t>
  </si>
  <si>
    <t>5.6</t>
  </si>
  <si>
    <t>5.7</t>
  </si>
  <si>
    <t>5.8</t>
  </si>
  <si>
    <t>5.9</t>
  </si>
  <si>
    <t>5.10</t>
  </si>
  <si>
    <t>5.11</t>
  </si>
  <si>
    <t>5.12</t>
  </si>
  <si>
    <t>Потери тепловой энергии при передаче тепловой энергии по  тепловым сетям, подлежащим реконстркуции, в том числе</t>
  </si>
  <si>
    <t>Котельная № 4 (ул. Cадовая д.28а)</t>
  </si>
  <si>
    <t>Форма N 4-ИП ТС</t>
  </si>
  <si>
    <t>Показатели надежности</t>
  </si>
  <si>
    <t>Показатели энергетической эффективности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</si>
  <si>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</si>
  <si>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>Удельный расход топлива на производство единицы тепловой энергии, отпускаемой с коллекторов источников тепловой энергии, 
кг у.т./Гкал</t>
  </si>
  <si>
    <r>
      <t>Отношение величины технологических потерь тепловой энергии, теплоносителя к материальной характеристике тепловой сети, 
Гкал/м</t>
    </r>
    <r>
      <rPr>
        <vertAlign val="superscript"/>
        <sz val="9"/>
        <rFont val="Times New Roman"/>
        <family val="1"/>
        <charset val="204"/>
      </rPr>
      <t>2</t>
    </r>
  </si>
  <si>
    <r>
      <t>Отношение величины технологических потерь теплоносителя к материальной характеристике тепловой сети, 
м</t>
    </r>
    <r>
      <rPr>
        <vertAlign val="superscript"/>
        <sz val="9"/>
        <rFont val="Times New Roman"/>
        <family val="1"/>
        <charset val="204"/>
      </rPr>
      <t>3</t>
    </r>
    <r>
      <rPr>
        <sz val="9"/>
        <rFont val="Times New Roman"/>
        <family val="1"/>
        <charset val="204"/>
      </rPr>
      <t>/м</t>
    </r>
    <r>
      <rPr>
        <vertAlign val="superscript"/>
        <sz val="9"/>
        <rFont val="Times New Roman"/>
        <family val="1"/>
        <charset val="204"/>
      </rPr>
      <t>2</t>
    </r>
  </si>
  <si>
    <t>Величина технологических потерь при передаче тепловой энергии, теплоносителя по тепловым сетям, 
Гкал</t>
  </si>
  <si>
    <r>
      <t>Величина технологических потерь при передаче теплоносителя по тепловым сетям, 
м</t>
    </r>
    <r>
      <rPr>
        <vertAlign val="superscript"/>
        <sz val="9"/>
        <rFont val="Times New Roman"/>
        <family val="1"/>
        <charset val="204"/>
      </rPr>
      <t>3</t>
    </r>
  </si>
  <si>
    <t>2034-2040</t>
  </si>
  <si>
    <t>156,8</t>
  </si>
  <si>
    <t>Тепловые сети в системе теплоснабжения с. Мыт, подлежащие реконструкции в том числе:</t>
  </si>
  <si>
    <t>2.1.</t>
  </si>
  <si>
    <t>Тепловые сети в системе теплоснабжения с. Мыт, в том числе:</t>
  </si>
  <si>
    <t>2.1.3</t>
  </si>
  <si>
    <t>2.1.4</t>
  </si>
  <si>
    <t>2.1.5</t>
  </si>
  <si>
    <t>2.1.6</t>
  </si>
  <si>
    <t>2.1.7</t>
  </si>
  <si>
    <t>2.1.8</t>
  </si>
  <si>
    <t>2.1.9</t>
  </si>
  <si>
    <t>2.1.10</t>
  </si>
  <si>
    <t>2.1.11</t>
  </si>
  <si>
    <t>2.1.12</t>
  </si>
  <si>
    <t xml:space="preserve"> сети от Котельной № 4 до У-1 Ду 108 мм без изменений Ду, (протяженностью 4,5 м в двухтрубном исполнении, надземная прокладка)  </t>
  </si>
  <si>
    <t xml:space="preserve">сети от У-1 до У-2 Ду 108 мм без изменений Ду, (протяженностью 77,6 м в двухтрубном исполнении, надземная прокладка) (рядом со строением по адресу Садовая ул.,д. 22а) </t>
  </si>
  <si>
    <t xml:space="preserve"> сети от У-2 до У-3 Ду 108 мм без изменений Ду, (протяженностью 60,0 м в двухтрубном исполнении, надземная прокладка) (вдоль строения по адресу Садовая ул., д.22а до ч/д по адресу Садовая ул.,д.16) </t>
  </si>
  <si>
    <t xml:space="preserve"> сети от У-3 до У-4 Ду 108 мм без изменений Ду, (протяженностью 17,2 м в двухтрубном исполнении, надземная прокладка) (компенсатор проходящий через дорогу рядом с ч/д по ул.Садовой, д. 16) </t>
  </si>
  <si>
    <t xml:space="preserve"> сети от У-4 до У-5 Ду 108 мм без изменений Ду, (протяженностью 31,0 м в двухтрубном исполнении, надземная прокладка) (участок проходящий по ул.Садовой) </t>
  </si>
  <si>
    <t xml:space="preserve"> сети от У-7 до ул. Садовая, д.хх Ду 57 мм без изменений Ду, (протяженностью 11,0 м в двухтрубном исполнении, надземная прокладка) (участок проходящий по ул.Садовая вдоль ч/д) </t>
  </si>
  <si>
    <t xml:space="preserve">сети от У-7 до У-8 Ду 108 мм без изменений Ду, (протяженностью 47,0 м в двухтрубном исполнении, надземная прокладка) (участок проходящий по ул.Садовая вдоль ч/д) </t>
  </si>
  <si>
    <t xml:space="preserve"> сети от У-6 до У-7 Ду 108 мм без изменений Ду, (протяженностью 40,0 м в двухтрубном исполнении, надземная прокладка) (участок проходящий по ул.Садовая вдоль ч/д) </t>
  </si>
  <si>
    <t xml:space="preserve"> сети от У-5 до У-6 Ду 89 мм без изменений Ду, (протяженностью 7,0 м в двухтрубном исполнении, надземная прокладка) (участок проходящий по ул.Садовая вдоль ч/д) </t>
  </si>
  <si>
    <t xml:space="preserve"> сети от У-8 до У-9 Ду 108 мм без изменений Ду, (протяженностью 14,5 м в двухтрубном исполнении, надземная прокладка) (рядом со школой по адресу ул. Садовая, д. 26) </t>
  </si>
  <si>
    <t xml:space="preserve">сети от У-9 до ТК-1 Ду 108 мм без изменений Ду, (протяженностью 15 м в двухтрубном исполнении, надземная прокладка) (по территории школы по адресу ул. Садовая, д. 26) </t>
  </si>
  <si>
    <t xml:space="preserve">сети от ТК-1 до ул. Садовая, д. 26 (Школа) Ду 108 мм без изменений Ду, (протяженностью 11,7 м в двухтрубном исполнении, подземная канальная прокладка) (по территории школы по адресу ул. Садовая, д. 26) </t>
  </si>
  <si>
    <t>Потери теплоносителя при передаче тепловой энергии по тепловым сетям, подлежащим реконструкции, в том числе:</t>
  </si>
  <si>
    <t>тонн в год</t>
  </si>
  <si>
    <t xml:space="preserve">ООО «КЭС - Верхняя Волга» </t>
  </si>
  <si>
    <t>31 августа 2027</t>
  </si>
  <si>
    <t>31 августа 2029</t>
  </si>
  <si>
    <t>Форма № 1-ИП ТС</t>
  </si>
  <si>
    <t>Форма № 2-ИП ТС</t>
  </si>
  <si>
    <t xml:space="preserve">Приложение 3 к постановлению Департамента энергетики </t>
  </si>
  <si>
    <t>Форма № 3-ИП ТС</t>
  </si>
  <si>
    <t>6.6</t>
  </si>
  <si>
    <t>6.7</t>
  </si>
  <si>
    <t>6.8</t>
  </si>
  <si>
    <t>6.9</t>
  </si>
  <si>
    <t>6.10</t>
  </si>
  <si>
    <t>6.11</t>
  </si>
  <si>
    <t>6.12</t>
  </si>
  <si>
    <t>Форма № 4-ИП ТС</t>
  </si>
  <si>
    <t>Приложение 5 к постановлению Департамента энергетики</t>
  </si>
  <si>
    <t>Продолжение  5 к постановлению Департамента энергетики</t>
  </si>
  <si>
    <t xml:space="preserve">Приложение 1/1 к протоколу заседания Правления Департамента энергетики </t>
  </si>
  <si>
    <t>и тарифов Ивановской области от 13.12.2024 № 50/9</t>
  </si>
  <si>
    <t xml:space="preserve">Приложение 1/2 к протоколу заседания Правления Департамента энергетики </t>
  </si>
  <si>
    <t xml:space="preserve">Приложение 1/3 к протоколу заседания Правления Департамента энергетики </t>
  </si>
  <si>
    <t xml:space="preserve">Приложение 1/4 к протоколу заседания Правления Департамента энергетики </t>
  </si>
  <si>
    <t>Профинансировано к 2024 году</t>
  </si>
  <si>
    <t>Расшифровка источников финансирования инвестиционной программы, тыс. руб. без НДС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</si>
</sst>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* #,##0.00\ _₽_-;\-* #,##0.00\ _₽_-;_-* &quot;-&quot;??\ _₽_-;_-@_-"/>
    <numFmt numFmtId="165" formatCode="0.0000"/>
    <numFmt numFmtId="166" formatCode="#,##0.000"/>
    <numFmt numFmtId="167" formatCode="0.0"/>
    <numFmt numFmtId="168" formatCode="#,##0.00000"/>
    <numFmt numFmtId="169" formatCode="0.000"/>
    <numFmt numFmtId="170" formatCode="0.00000"/>
    <numFmt numFmtId="171" formatCode="#,##0.0"/>
    <numFmt numFmtId="172" formatCode="0.000000"/>
    <numFmt numFmtId="173" formatCode="_-* #,##0.00&quot;р.&quot;_-;\-* #,##0.00&quot;р.&quot;_-;_-* &quot;-&quot;??&quot;р.&quot;_-;_-@_-"/>
  </numFmts>
  <fonts count="4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4" tint="-0.249977111117893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548DD4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0"/>
      <color indexed="62"/>
      <name val="Calibri"/>
      <family val="2"/>
      <charset val="204"/>
    </font>
    <font>
      <sz val="10"/>
      <color indexed="50"/>
      <name val="Arial Cyr"/>
      <charset val="204"/>
    </font>
    <font>
      <sz val="10"/>
      <color indexed="10"/>
      <name val="Arial Cyr"/>
      <charset val="204"/>
    </font>
    <font>
      <sz val="10"/>
      <color indexed="62"/>
      <name val="Arial Cyr"/>
      <charset val="204"/>
    </font>
    <font>
      <b/>
      <sz val="10"/>
      <color indexed="8"/>
      <name val="Calibri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0"/>
      <name val="Arial"/>
      <family val="2"/>
      <charset val="204"/>
    </font>
    <font>
      <b/>
      <sz val="10"/>
      <name val="Arial Cyr"/>
      <charset val="204"/>
    </font>
    <font>
      <sz val="9"/>
      <color indexed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vertAlign val="subscript"/>
      <sz val="10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10"/>
      <name val="Arial Cyr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sz val="11"/>
      <name val="Calibri"/>
      <family val="2"/>
      <charset val="204"/>
      <scheme val="minor"/>
    </font>
    <font>
      <i/>
      <sz val="16"/>
      <name val="Times New Roman"/>
      <family val="1"/>
      <charset val="204"/>
    </font>
    <font>
      <sz val="16"/>
      <name val="Calibri"/>
      <family val="2"/>
      <charset val="204"/>
      <scheme val="minor"/>
    </font>
    <font>
      <b/>
      <i/>
      <sz val="16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7.5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27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2"/>
      </left>
      <right style="medium">
        <color indexed="64"/>
      </right>
      <top style="medium">
        <color indexed="62"/>
      </top>
      <bottom style="medium">
        <color indexed="62"/>
      </bottom>
      <diagonal/>
    </border>
    <border>
      <left/>
      <right style="medium">
        <color indexed="62"/>
      </right>
      <top style="medium">
        <color indexed="62"/>
      </top>
      <bottom style="medium">
        <color indexed="62"/>
      </bottom>
      <diagonal/>
    </border>
    <border>
      <left style="medium">
        <color indexed="62"/>
      </left>
      <right style="medium">
        <color indexed="64"/>
      </right>
      <top/>
      <bottom style="medium">
        <color indexed="62"/>
      </bottom>
      <diagonal/>
    </border>
    <border>
      <left/>
      <right style="medium">
        <color indexed="62"/>
      </right>
      <top/>
      <bottom style="medium">
        <color indexed="62"/>
      </bottom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3" fillId="0" borderId="0"/>
    <xf numFmtId="0" fontId="32" fillId="0" borderId="0"/>
  </cellStyleXfs>
  <cellXfs count="30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vertical="center" wrapText="1"/>
    </xf>
    <xf numFmtId="0" fontId="6" fillId="0" borderId="0" xfId="0" applyFont="1"/>
    <xf numFmtId="49" fontId="6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6" fillId="2" borderId="0" xfId="0" applyFont="1" applyFill="1"/>
    <xf numFmtId="171" fontId="6" fillId="0" borderId="1" xfId="0" applyNumberFormat="1" applyFont="1" applyBorder="1" applyAlignment="1">
      <alignment horizontal="center" vertical="center" wrapText="1"/>
    </xf>
    <xf numFmtId="171" fontId="6" fillId="0" borderId="3" xfId="0" applyNumberFormat="1" applyFont="1" applyBorder="1" applyAlignment="1">
      <alignment horizontal="center" vertical="center" wrapText="1"/>
    </xf>
    <xf numFmtId="171" fontId="6" fillId="0" borderId="2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wrapText="1"/>
    </xf>
    <xf numFmtId="0" fontId="8" fillId="0" borderId="22" xfId="0" applyFont="1" applyBorder="1" applyAlignment="1">
      <alignment horizontal="center" wrapText="1"/>
    </xf>
    <xf numFmtId="0" fontId="8" fillId="0" borderId="22" xfId="0" applyFont="1" applyBorder="1" applyAlignment="1">
      <alignment horizontal="center" vertical="top" wrapText="1"/>
    </xf>
    <xf numFmtId="0" fontId="9" fillId="0" borderId="19" xfId="0" applyFont="1" applyBorder="1" applyAlignment="1">
      <alignment horizontal="center" wrapText="1"/>
    </xf>
    <xf numFmtId="0" fontId="9" fillId="0" borderId="23" xfId="0" applyFont="1" applyBorder="1" applyAlignment="1">
      <alignment horizontal="center" wrapText="1"/>
    </xf>
    <xf numFmtId="0" fontId="9" fillId="0" borderId="23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wrapText="1"/>
    </xf>
    <xf numFmtId="0" fontId="10" fillId="0" borderId="23" xfId="0" applyFont="1" applyBorder="1" applyAlignment="1">
      <alignment horizontal="center" wrapText="1"/>
    </xf>
    <xf numFmtId="0" fontId="11" fillId="0" borderId="23" xfId="0" applyFont="1" applyBorder="1" applyAlignment="1">
      <alignment horizontal="center" wrapText="1"/>
    </xf>
    <xf numFmtId="167" fontId="11" fillId="0" borderId="23" xfId="0" applyNumberFormat="1" applyFont="1" applyBorder="1" applyAlignment="1">
      <alignment horizontal="center" wrapText="1"/>
    </xf>
    <xf numFmtId="2" fontId="11" fillId="0" borderId="23" xfId="0" applyNumberFormat="1" applyFont="1" applyBorder="1" applyAlignment="1">
      <alignment horizontal="center" wrapText="1"/>
    </xf>
    <xf numFmtId="0" fontId="4" fillId="0" borderId="0" xfId="0" applyFont="1"/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0" applyFont="1" applyBorder="1" applyAlignment="1">
      <alignment horizontal="left" vertical="top" wrapText="1"/>
    </xf>
    <xf numFmtId="169" fontId="16" fillId="0" borderId="1" xfId="0" applyNumberFormat="1" applyFont="1" applyBorder="1" applyAlignment="1">
      <alignment horizontal="left" vertical="center"/>
    </xf>
    <xf numFmtId="165" fontId="17" fillId="0" borderId="3" xfId="0" applyNumberFormat="1" applyFont="1" applyBorder="1" applyAlignment="1">
      <alignment vertical="center"/>
    </xf>
    <xf numFmtId="169" fontId="18" fillId="0" borderId="0" xfId="0" applyNumberFormat="1" applyFont="1" applyAlignment="1">
      <alignment vertical="center"/>
    </xf>
    <xf numFmtId="0" fontId="0" fillId="5" borderId="0" xfId="0" applyFill="1" applyAlignment="1">
      <alignment vertical="center"/>
    </xf>
    <xf numFmtId="0" fontId="6" fillId="0" borderId="18" xfId="0" applyFont="1" applyBorder="1" applyAlignment="1">
      <alignment horizontal="justify" vertical="top" wrapText="1"/>
    </xf>
    <xf numFmtId="2" fontId="13" fillId="0" borderId="1" xfId="0" applyNumberFormat="1" applyFont="1" applyBorder="1" applyAlignment="1">
      <alignment horizontal="right" vertical="top" wrapText="1"/>
    </xf>
    <xf numFmtId="169" fontId="0" fillId="0" borderId="0" xfId="0" applyNumberFormat="1" applyFont="1" applyAlignment="1">
      <alignment vertical="center"/>
    </xf>
    <xf numFmtId="0" fontId="6" fillId="0" borderId="19" xfId="0" applyFont="1" applyBorder="1" applyAlignment="1">
      <alignment horizontal="justify" vertical="top" wrapText="1"/>
    </xf>
    <xf numFmtId="169" fontId="19" fillId="0" borderId="3" xfId="0" applyNumberFormat="1" applyFont="1" applyBorder="1" applyAlignment="1">
      <alignment vertical="center"/>
    </xf>
    <xf numFmtId="169" fontId="0" fillId="0" borderId="1" xfId="0" applyNumberFormat="1" applyBorder="1" applyAlignment="1">
      <alignment vertical="center"/>
    </xf>
    <xf numFmtId="172" fontId="16" fillId="0" borderId="1" xfId="0" applyNumberFormat="1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165" fontId="20" fillId="0" borderId="1" xfId="0" applyNumberFormat="1" applyFont="1" applyBorder="1" applyAlignment="1">
      <alignment horizontal="left" vertical="center"/>
    </xf>
    <xf numFmtId="169" fontId="20" fillId="0" borderId="1" xfId="0" applyNumberFormat="1" applyFont="1" applyBorder="1" applyAlignment="1">
      <alignment horizontal="left" vertical="center"/>
    </xf>
    <xf numFmtId="169" fontId="0" fillId="0" borderId="0" xfId="0" applyNumberFormat="1" applyAlignment="1">
      <alignment vertical="center"/>
    </xf>
    <xf numFmtId="0" fontId="14" fillId="0" borderId="0" xfId="0" applyFont="1" applyAlignment="1">
      <alignment horizontal="left" vertical="center"/>
    </xf>
    <xf numFmtId="0" fontId="21" fillId="3" borderId="11" xfId="0" applyFont="1" applyFill="1" applyBorder="1"/>
    <xf numFmtId="0" fontId="21" fillId="3" borderId="12" xfId="0" applyFont="1" applyFill="1" applyBorder="1"/>
    <xf numFmtId="0" fontId="21" fillId="3" borderId="13" xfId="0" applyFont="1" applyFill="1" applyBorder="1"/>
    <xf numFmtId="0" fontId="21" fillId="3" borderId="1" xfId="0" applyFont="1" applyFill="1" applyBorder="1"/>
    <xf numFmtId="2" fontId="21" fillId="6" borderId="1" xfId="0" applyNumberFormat="1" applyFont="1" applyFill="1" applyBorder="1"/>
    <xf numFmtId="170" fontId="21" fillId="6" borderId="1" xfId="0" applyNumberFormat="1" applyFont="1" applyFill="1" applyBorder="1"/>
    <xf numFmtId="169" fontId="21" fillId="3" borderId="1" xfId="0" applyNumberFormat="1" applyFont="1" applyFill="1" applyBorder="1"/>
    <xf numFmtId="0" fontId="21" fillId="3" borderId="14" xfId="0" applyFont="1" applyFill="1" applyBorder="1"/>
    <xf numFmtId="0" fontId="22" fillId="3" borderId="13" xfId="0" applyFont="1" applyFill="1" applyBorder="1"/>
    <xf numFmtId="0" fontId="22" fillId="3" borderId="1" xfId="0" applyFont="1" applyFill="1" applyBorder="1"/>
    <xf numFmtId="2" fontId="22" fillId="6" borderId="1" xfId="0" applyNumberFormat="1" applyFont="1" applyFill="1" applyBorder="1"/>
    <xf numFmtId="169" fontId="22" fillId="6" borderId="1" xfId="0" applyNumberFormat="1" applyFont="1" applyFill="1" applyBorder="1"/>
    <xf numFmtId="0" fontId="21" fillId="3" borderId="13" xfId="0" applyFont="1" applyFill="1" applyBorder="1" applyAlignment="1">
      <alignment horizontal="left"/>
    </xf>
    <xf numFmtId="2" fontId="21" fillId="0" borderId="1" xfId="0" applyNumberFormat="1" applyFont="1" applyFill="1" applyBorder="1"/>
    <xf numFmtId="169" fontId="23" fillId="0" borderId="1" xfId="0" applyNumberFormat="1" applyFont="1" applyFill="1" applyBorder="1"/>
    <xf numFmtId="2" fontId="21" fillId="3" borderId="1" xfId="0" applyNumberFormat="1" applyFont="1" applyFill="1" applyBorder="1"/>
    <xf numFmtId="169" fontId="21" fillId="3" borderId="14" xfId="0" applyNumberFormat="1" applyFont="1" applyFill="1" applyBorder="1"/>
    <xf numFmtId="2" fontId="22" fillId="3" borderId="1" xfId="0" applyNumberFormat="1" applyFont="1" applyFill="1" applyBorder="1"/>
    <xf numFmtId="169" fontId="24" fillId="3" borderId="1" xfId="0" applyNumberFormat="1" applyFont="1" applyFill="1" applyBorder="1"/>
    <xf numFmtId="169" fontId="25" fillId="0" borderId="0" xfId="0" applyNumberFormat="1" applyFont="1" applyAlignment="1">
      <alignment vertical="center"/>
    </xf>
    <xf numFmtId="169" fontId="22" fillId="3" borderId="1" xfId="0" applyNumberFormat="1" applyFont="1" applyFill="1" applyBorder="1"/>
    <xf numFmtId="169" fontId="22" fillId="3" borderId="14" xfId="0" applyNumberFormat="1" applyFont="1" applyFill="1" applyBorder="1"/>
    <xf numFmtId="0" fontId="21" fillId="3" borderId="0" xfId="0" applyFont="1" applyFill="1"/>
    <xf numFmtId="0" fontId="21" fillId="7" borderId="0" xfId="0" applyFont="1" applyFill="1"/>
    <xf numFmtId="0" fontId="0" fillId="3" borderId="0" xfId="0" applyFill="1" applyAlignment="1">
      <alignment vertical="center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 vertical="top" wrapText="1"/>
    </xf>
    <xf numFmtId="0" fontId="6" fillId="3" borderId="26" xfId="0" applyFont="1" applyFill="1" applyBorder="1" applyAlignment="1">
      <alignment horizontal="left"/>
    </xf>
    <xf numFmtId="169" fontId="26" fillId="0" borderId="27" xfId="0" applyNumberFormat="1" applyFont="1" applyBorder="1" applyAlignment="1">
      <alignment horizontal="right" wrapText="1"/>
    </xf>
    <xf numFmtId="169" fontId="0" fillId="3" borderId="0" xfId="0" applyNumberFormat="1" applyFill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6" borderId="0" xfId="0" applyFont="1" applyFill="1" applyAlignment="1">
      <alignment horizontal="center" vertical="center"/>
    </xf>
    <xf numFmtId="166" fontId="4" fillId="6" borderId="0" xfId="0" applyNumberFormat="1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0" fontId="0" fillId="0" borderId="0" xfId="0" applyNumberFormat="1"/>
    <xf numFmtId="9" fontId="0" fillId="0" borderId="0" xfId="0" applyNumberFormat="1"/>
    <xf numFmtId="173" fontId="25" fillId="0" borderId="28" xfId="0" applyNumberFormat="1" applyFont="1" applyBorder="1" applyAlignment="1">
      <alignment horizontal="right"/>
    </xf>
    <xf numFmtId="166" fontId="0" fillId="0" borderId="0" xfId="0" applyNumberFormat="1" applyBorder="1"/>
    <xf numFmtId="166" fontId="0" fillId="8" borderId="28" xfId="0" applyNumberFormat="1" applyFill="1" applyBorder="1"/>
    <xf numFmtId="166" fontId="0" fillId="9" borderId="0" xfId="0" applyNumberFormat="1" applyFill="1" applyBorder="1"/>
    <xf numFmtId="173" fontId="0" fillId="0" borderId="28" xfId="0" applyNumberFormat="1" applyFont="1" applyBorder="1" applyAlignment="1">
      <alignment horizontal="right"/>
    </xf>
    <xf numFmtId="164" fontId="0" fillId="0" borderId="0" xfId="0" applyNumberFormat="1"/>
    <xf numFmtId="166" fontId="0" fillId="8" borderId="0" xfId="0" applyNumberFormat="1" applyFill="1" applyBorder="1"/>
    <xf numFmtId="0" fontId="0" fillId="0" borderId="0" xfId="0" applyFill="1"/>
    <xf numFmtId="166" fontId="0" fillId="10" borderId="0" xfId="0" applyNumberFormat="1" applyFill="1" applyBorder="1"/>
    <xf numFmtId="0" fontId="0" fillId="6" borderId="0" xfId="0" applyFill="1"/>
    <xf numFmtId="173" fontId="25" fillId="0" borderId="28" xfId="0" applyNumberFormat="1" applyFont="1" applyFill="1" applyBorder="1" applyAlignment="1">
      <alignment horizontal="right"/>
    </xf>
    <xf numFmtId="166" fontId="0" fillId="0" borderId="0" xfId="0" applyNumberFormat="1" applyFill="1" applyBorder="1"/>
    <xf numFmtId="173" fontId="0" fillId="0" borderId="28" xfId="0" applyNumberFormat="1" applyFont="1" applyFill="1" applyBorder="1" applyAlignment="1">
      <alignment horizontal="right"/>
    </xf>
    <xf numFmtId="173" fontId="25" fillId="6" borderId="28" xfId="0" applyNumberFormat="1" applyFont="1" applyFill="1" applyBorder="1" applyAlignment="1">
      <alignment horizontal="right"/>
    </xf>
    <xf numFmtId="173" fontId="0" fillId="6" borderId="28" xfId="0" applyNumberFormat="1" applyFont="1" applyFill="1" applyBorder="1" applyAlignment="1">
      <alignment horizontal="right"/>
    </xf>
    <xf numFmtId="166" fontId="0" fillId="6" borderId="0" xfId="0" applyNumberFormat="1" applyFill="1" applyBorder="1"/>
    <xf numFmtId="164" fontId="0" fillId="8" borderId="28" xfId="0" applyNumberFormat="1" applyFill="1" applyBorder="1"/>
    <xf numFmtId="164" fontId="0" fillId="0" borderId="0" xfId="0" applyNumberFormat="1" applyBorder="1"/>
    <xf numFmtId="173" fontId="0" fillId="6" borderId="28" xfId="0" applyNumberFormat="1" applyFill="1" applyBorder="1" applyAlignment="1">
      <alignment horizontal="right"/>
    </xf>
    <xf numFmtId="166" fontId="0" fillId="0" borderId="0" xfId="0" applyNumberFormat="1"/>
    <xf numFmtId="0" fontId="0" fillId="2" borderId="0" xfId="0" applyFill="1"/>
    <xf numFmtId="173" fontId="0" fillId="2" borderId="28" xfId="0" applyNumberFormat="1" applyFill="1" applyBorder="1" applyAlignment="1">
      <alignment horizontal="right"/>
    </xf>
    <xf numFmtId="166" fontId="0" fillId="2" borderId="0" xfId="0" applyNumberFormat="1" applyFill="1"/>
    <xf numFmtId="0" fontId="4" fillId="2" borderId="0" xfId="0" applyFont="1" applyFill="1"/>
    <xf numFmtId="0" fontId="6" fillId="0" borderId="1" xfId="0" applyFont="1" applyFill="1" applyBorder="1" applyAlignment="1">
      <alignment horizontal="left"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textRotation="90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2" fontId="6" fillId="0" borderId="0" xfId="0" applyNumberFormat="1" applyFont="1" applyFill="1" applyBorder="1" applyAlignment="1">
      <alignment horizontal="center" vertical="center" textRotation="90"/>
    </xf>
    <xf numFmtId="167" fontId="6" fillId="0" borderId="0" xfId="0" applyNumberFormat="1" applyFont="1" applyFill="1" applyBorder="1" applyAlignment="1">
      <alignment horizontal="center" vertical="center" textRotation="90"/>
    </xf>
    <xf numFmtId="0" fontId="10" fillId="0" borderId="0" xfId="0" applyFont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right" vertical="center"/>
    </xf>
    <xf numFmtId="0" fontId="10" fillId="0" borderId="1" xfId="0" applyFont="1" applyBorder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34" fillId="0" borderId="0" xfId="0" applyFont="1" applyFill="1" applyAlignment="1"/>
    <xf numFmtId="0" fontId="35" fillId="0" borderId="0" xfId="0" applyFont="1"/>
    <xf numFmtId="0" fontId="34" fillId="0" borderId="0" xfId="0" applyFont="1" applyFill="1" applyAlignment="1">
      <alignment vertical="center"/>
    </xf>
    <xf numFmtId="0" fontId="35" fillId="0" borderId="0" xfId="0" applyFont="1" applyFill="1" applyAlignment="1">
      <alignment vertical="top"/>
    </xf>
    <xf numFmtId="0" fontId="35" fillId="0" borderId="0" xfId="0" applyFont="1" applyFill="1" applyAlignment="1">
      <alignment horizontal="left"/>
    </xf>
    <xf numFmtId="0" fontId="35" fillId="0" borderId="0" xfId="0" applyFont="1" applyFill="1"/>
    <xf numFmtId="0" fontId="35" fillId="0" borderId="0" xfId="0" applyFont="1" applyFill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vertical="center" wrapText="1"/>
    </xf>
    <xf numFmtId="166" fontId="35" fillId="0" borderId="1" xfId="0" applyNumberFormat="1" applyFont="1" applyFill="1" applyBorder="1" applyAlignment="1">
      <alignment horizontal="center" vertical="center" wrapText="1"/>
    </xf>
    <xf numFmtId="49" fontId="35" fillId="0" borderId="1" xfId="0" applyNumberFormat="1" applyFont="1" applyFill="1" applyBorder="1" applyAlignment="1">
      <alignment horizontal="left" vertical="center" wrapText="1"/>
    </xf>
    <xf numFmtId="3" fontId="35" fillId="0" borderId="1" xfId="0" applyNumberFormat="1" applyFont="1" applyFill="1" applyBorder="1" applyAlignment="1">
      <alignment horizontal="left" vertical="center" wrapText="1"/>
    </xf>
    <xf numFmtId="3" fontId="35" fillId="0" borderId="1" xfId="0" applyNumberFormat="1" applyFont="1" applyFill="1" applyBorder="1" applyAlignment="1">
      <alignment horizontal="center" vertical="center" wrapText="1"/>
    </xf>
    <xf numFmtId="0" fontId="35" fillId="0" borderId="1" xfId="0" applyFont="1" applyFill="1" applyBorder="1" applyAlignment="1">
      <alignment horizontal="justify" vertical="center" wrapText="1"/>
    </xf>
    <xf numFmtId="166" fontId="35" fillId="0" borderId="1" xfId="0" applyNumberFormat="1" applyFont="1" applyFill="1" applyBorder="1" applyAlignment="1">
      <alignment vertical="center" wrapText="1"/>
    </xf>
    <xf numFmtId="166" fontId="35" fillId="0" borderId="7" xfId="0" applyNumberFormat="1" applyFont="1" applyFill="1" applyBorder="1" applyAlignment="1">
      <alignment vertical="center" wrapText="1"/>
    </xf>
    <xf numFmtId="166" fontId="35" fillId="0" borderId="7" xfId="0" applyNumberFormat="1" applyFont="1" applyFill="1" applyBorder="1" applyAlignment="1">
      <alignment horizontal="center" vertical="center" wrapText="1"/>
    </xf>
    <xf numFmtId="166" fontId="35" fillId="0" borderId="2" xfId="0" applyNumberFormat="1" applyFont="1" applyFill="1" applyBorder="1" applyAlignment="1">
      <alignment vertical="center" wrapText="1"/>
    </xf>
    <xf numFmtId="166" fontId="35" fillId="0" borderId="21" xfId="0" applyNumberFormat="1" applyFont="1" applyFill="1" applyBorder="1" applyAlignment="1">
      <alignment horizontal="center" vertical="center" wrapText="1"/>
    </xf>
    <xf numFmtId="166" fontId="35" fillId="0" borderId="2" xfId="0" applyNumberFormat="1" applyFont="1" applyFill="1" applyBorder="1" applyAlignment="1">
      <alignment horizontal="center" vertical="center" wrapText="1"/>
    </xf>
    <xf numFmtId="0" fontId="35" fillId="0" borderId="2" xfId="0" applyFont="1" applyFill="1" applyBorder="1" applyAlignment="1">
      <alignment horizontal="center" vertical="center" wrapText="1"/>
    </xf>
    <xf numFmtId="166" fontId="35" fillId="0" borderId="21" xfId="0" applyNumberFormat="1" applyFont="1" applyFill="1" applyBorder="1" applyAlignment="1">
      <alignment vertical="center" wrapText="1"/>
    </xf>
    <xf numFmtId="0" fontId="35" fillId="0" borderId="2" xfId="0" applyFont="1" applyFill="1" applyBorder="1" applyAlignment="1">
      <alignment vertical="center" wrapText="1"/>
    </xf>
    <xf numFmtId="166" fontId="35" fillId="0" borderId="6" xfId="0" applyNumberFormat="1" applyFont="1" applyFill="1" applyBorder="1" applyAlignment="1">
      <alignment vertical="center" wrapText="1"/>
    </xf>
    <xf numFmtId="166" fontId="35" fillId="0" borderId="1" xfId="0" applyNumberFormat="1" applyFont="1" applyFill="1" applyBorder="1" applyAlignment="1">
      <alignment horizontal="justify" vertical="center" wrapText="1"/>
    </xf>
    <xf numFmtId="166" fontId="35" fillId="0" borderId="3" xfId="0" applyNumberFormat="1" applyFont="1" applyFill="1" applyBorder="1" applyAlignment="1">
      <alignment horizontal="center" vertical="center" wrapText="1"/>
    </xf>
    <xf numFmtId="168" fontId="35" fillId="0" borderId="3" xfId="0" applyNumberFormat="1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vertical="center" wrapText="1"/>
    </xf>
    <xf numFmtId="0" fontId="35" fillId="0" borderId="5" xfId="0" applyFont="1" applyFill="1" applyBorder="1" applyAlignment="1">
      <alignment vertical="center" wrapText="1"/>
    </xf>
    <xf numFmtId="0" fontId="35" fillId="0" borderId="6" xfId="0" applyFont="1" applyFill="1" applyBorder="1" applyAlignment="1">
      <alignment vertical="center" wrapText="1"/>
    </xf>
    <xf numFmtId="0" fontId="35" fillId="0" borderId="7" xfId="0" applyFont="1" applyFill="1" applyBorder="1" applyAlignment="1">
      <alignment vertical="center" wrapText="1"/>
    </xf>
    <xf numFmtId="0" fontId="34" fillId="0" borderId="1" xfId="0" applyFont="1" applyFill="1" applyBorder="1" applyAlignment="1">
      <alignment vertical="center" wrapText="1"/>
    </xf>
    <xf numFmtId="3" fontId="34" fillId="0" borderId="1" xfId="0" applyNumberFormat="1" applyFont="1" applyFill="1" applyBorder="1" applyAlignment="1">
      <alignment horizontal="center" vertical="center" wrapText="1"/>
    </xf>
    <xf numFmtId="166" fontId="34" fillId="0" borderId="1" xfId="0" applyNumberFormat="1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right" vertical="center"/>
    </xf>
    <xf numFmtId="166" fontId="35" fillId="0" borderId="1" xfId="0" applyNumberFormat="1" applyFont="1" applyFill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right"/>
    </xf>
    <xf numFmtId="0" fontId="6" fillId="2" borderId="0" xfId="3" applyFont="1" applyFill="1" applyAlignment="1">
      <alignment horizontal="right" vertical="center"/>
    </xf>
    <xf numFmtId="0" fontId="35" fillId="0" borderId="0" xfId="0" applyFont="1" applyAlignment="1">
      <alignment horizontal="right" vertical="center"/>
    </xf>
    <xf numFmtId="0" fontId="35" fillId="2" borderId="0" xfId="2" applyFont="1" applyFill="1" applyAlignment="1">
      <alignment horizontal="right"/>
    </xf>
    <xf numFmtId="0" fontId="3" fillId="2" borderId="0" xfId="0" applyFont="1" applyFill="1" applyAlignment="1"/>
    <xf numFmtId="0" fontId="29" fillId="4" borderId="1" xfId="0" applyFont="1" applyFill="1" applyBorder="1" applyAlignment="1">
      <alignment horizontal="center" wrapText="1"/>
    </xf>
    <xf numFmtId="0" fontId="35" fillId="2" borderId="0" xfId="0" applyFont="1" applyFill="1" applyAlignment="1">
      <alignment horizontal="center"/>
    </xf>
    <xf numFmtId="0" fontId="35" fillId="2" borderId="0" xfId="0" applyFont="1" applyFill="1"/>
    <xf numFmtId="0" fontId="35" fillId="2" borderId="0" xfId="0" applyFont="1" applyFill="1" applyAlignment="1"/>
    <xf numFmtId="0" fontId="35" fillId="2" borderId="0" xfId="0" applyFont="1" applyFill="1" applyAlignment="1">
      <alignment horizontal="right" vertical="center"/>
    </xf>
    <xf numFmtId="0" fontId="35" fillId="0" borderId="0" xfId="0" applyFont="1" applyFill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17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/>
    </xf>
    <xf numFmtId="166" fontId="34" fillId="2" borderId="1" xfId="0" applyNumberFormat="1" applyFont="1" applyFill="1" applyBorder="1" applyAlignment="1">
      <alignment horizontal="center" vertical="center" wrapText="1"/>
    </xf>
    <xf numFmtId="166" fontId="34" fillId="2" borderId="1" xfId="0" applyNumberFormat="1" applyFont="1" applyFill="1" applyBorder="1" applyAlignment="1">
      <alignment wrapText="1"/>
    </xf>
    <xf numFmtId="0" fontId="34" fillId="0" borderId="0" xfId="0" applyFont="1" applyFill="1"/>
    <xf numFmtId="0" fontId="34" fillId="2" borderId="0" xfId="0" applyFont="1" applyFill="1"/>
    <xf numFmtId="0" fontId="35" fillId="2" borderId="1" xfId="0" applyFont="1" applyFill="1" applyBorder="1" applyAlignment="1">
      <alignment horizontal="left" vertical="center" wrapText="1" indent="1"/>
    </xf>
    <xf numFmtId="166" fontId="35" fillId="2" borderId="1" xfId="0" applyNumberFormat="1" applyFont="1" applyFill="1" applyBorder="1" applyAlignment="1">
      <alignment horizontal="center" vertical="center" wrapText="1"/>
    </xf>
    <xf numFmtId="0" fontId="34" fillId="2" borderId="1" xfId="0" applyFont="1" applyFill="1" applyBorder="1" applyAlignment="1">
      <alignment horizontal="left" vertical="center" wrapText="1" indent="1"/>
    </xf>
    <xf numFmtId="49" fontId="35" fillId="2" borderId="1" xfId="0" applyNumberFormat="1" applyFont="1" applyFill="1" applyBorder="1" applyAlignment="1">
      <alignment horizontal="center" vertical="center" wrapText="1"/>
    </xf>
    <xf numFmtId="0" fontId="39" fillId="0" borderId="0" xfId="0" applyFont="1" applyFill="1"/>
    <xf numFmtId="0" fontId="39" fillId="2" borderId="0" xfId="0" applyFont="1" applyFill="1"/>
    <xf numFmtId="166" fontId="34" fillId="2" borderId="1" xfId="0" applyNumberFormat="1" applyFont="1" applyFill="1" applyBorder="1" applyAlignment="1">
      <alignment horizontal="center" wrapText="1"/>
    </xf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left" vertical="center" wrapText="1"/>
    </xf>
    <xf numFmtId="0" fontId="35" fillId="0" borderId="1" xfId="0" applyFont="1" applyFill="1" applyBorder="1" applyAlignment="1">
      <alignment horizontal="left" vertical="center" wrapText="1" indent="1"/>
    </xf>
    <xf numFmtId="4" fontId="35" fillId="2" borderId="0" xfId="0" applyNumberFormat="1" applyFont="1" applyFill="1"/>
    <xf numFmtId="2" fontId="35" fillId="2" borderId="0" xfId="0" applyNumberFormat="1" applyFont="1" applyFill="1"/>
    <xf numFmtId="2" fontId="41" fillId="2" borderId="0" xfId="0" applyNumberFormat="1" applyFont="1" applyFill="1"/>
    <xf numFmtId="2" fontId="6" fillId="0" borderId="1" xfId="0" applyNumberFormat="1" applyFont="1" applyBorder="1" applyAlignment="1">
      <alignment horizontal="center" vertical="center" textRotation="90" wrapText="1"/>
    </xf>
    <xf numFmtId="0" fontId="4" fillId="2" borderId="0" xfId="0" applyFont="1" applyFill="1" applyAlignment="1"/>
    <xf numFmtId="0" fontId="4" fillId="2" borderId="0" xfId="0" applyFont="1" applyFill="1" applyAlignment="1">
      <alignment horizontal="right"/>
    </xf>
    <xf numFmtId="0" fontId="3" fillId="0" borderId="0" xfId="0" applyFont="1" applyAlignment="1">
      <alignment horizontal="right"/>
    </xf>
    <xf numFmtId="0" fontId="38" fillId="2" borderId="0" xfId="0" applyFont="1" applyFill="1"/>
    <xf numFmtId="167" fontId="6" fillId="0" borderId="1" xfId="0" applyNumberFormat="1" applyFont="1" applyFill="1" applyBorder="1" applyAlignment="1">
      <alignment horizontal="center" vertical="center" textRotation="90"/>
    </xf>
    <xf numFmtId="0" fontId="43" fillId="0" borderId="0" xfId="0" applyFont="1" applyFill="1" applyBorder="1" applyAlignment="1">
      <alignment horizontal="left" vertical="center" wrapText="1"/>
    </xf>
    <xf numFmtId="0" fontId="33" fillId="0" borderId="0" xfId="0" applyFont="1" applyFill="1"/>
    <xf numFmtId="0" fontId="10" fillId="0" borderId="1" xfId="0" applyFont="1" applyBorder="1" applyAlignment="1">
      <alignment horizontal="left" vertical="center" wrapText="1"/>
    </xf>
    <xf numFmtId="0" fontId="2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6" fillId="0" borderId="0" xfId="0" applyFont="1" applyFill="1" applyAlignment="1"/>
    <xf numFmtId="0" fontId="36" fillId="0" borderId="0" xfId="0" applyFont="1" applyFill="1" applyAlignment="1">
      <alignment vertical="center"/>
    </xf>
    <xf numFmtId="0" fontId="37" fillId="0" borderId="0" xfId="0" applyFont="1" applyFill="1" applyAlignment="1">
      <alignment vertical="center"/>
    </xf>
    <xf numFmtId="166" fontId="35" fillId="0" borderId="0" xfId="0" applyNumberFormat="1" applyFont="1" applyFill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vertical="center"/>
    </xf>
    <xf numFmtId="0" fontId="36" fillId="2" borderId="0" xfId="0" applyFont="1" applyFill="1" applyBorder="1" applyAlignment="1">
      <alignment vertical="center"/>
    </xf>
    <xf numFmtId="167" fontId="6" fillId="0" borderId="3" xfId="0" applyNumberFormat="1" applyFont="1" applyBorder="1" applyAlignment="1">
      <alignment horizontal="center" vertical="center" wrapText="1"/>
    </xf>
    <xf numFmtId="167" fontId="6" fillId="0" borderId="9" xfId="0" applyNumberFormat="1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42" fillId="0" borderId="0" xfId="0" applyFont="1" applyBorder="1" applyAlignment="1"/>
    <xf numFmtId="0" fontId="4" fillId="0" borderId="0" xfId="0" applyFont="1" applyAlignment="1">
      <alignment vertical="top"/>
    </xf>
    <xf numFmtId="0" fontId="35" fillId="0" borderId="1" xfId="0" applyFont="1" applyFill="1" applyBorder="1" applyAlignment="1">
      <alignment horizontal="center" vertical="center" wrapText="1"/>
    </xf>
    <xf numFmtId="169" fontId="35" fillId="0" borderId="1" xfId="0" applyNumberFormat="1" applyFont="1" applyFill="1" applyBorder="1" applyAlignment="1">
      <alignment horizontal="center" vertical="center" wrapText="1"/>
    </xf>
    <xf numFmtId="49" fontId="35" fillId="0" borderId="2" xfId="0" applyNumberFormat="1" applyFont="1" applyFill="1" applyBorder="1" applyAlignment="1">
      <alignment horizontal="center" vertical="center" wrapText="1"/>
    </xf>
    <xf numFmtId="169" fontId="35" fillId="0" borderId="2" xfId="0" applyNumberFormat="1" applyFont="1" applyFill="1" applyBorder="1" applyAlignment="1">
      <alignment horizontal="center" vertical="center" wrapText="1"/>
    </xf>
    <xf numFmtId="0" fontId="35" fillId="0" borderId="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3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5" xfId="0" applyFont="1" applyFill="1" applyBorder="1" applyAlignment="1">
      <alignment horizontal="left" vertical="center" wrapText="1"/>
    </xf>
    <xf numFmtId="0" fontId="35" fillId="0" borderId="7" xfId="0" applyFont="1" applyFill="1" applyBorder="1" applyAlignment="1">
      <alignment horizontal="left" vertical="center" wrapText="1"/>
    </xf>
    <xf numFmtId="0" fontId="35" fillId="0" borderId="6" xfId="0" applyFont="1" applyFill="1" applyBorder="1" applyAlignment="1">
      <alignment horizontal="left" vertical="center" wrapText="1"/>
    </xf>
    <xf numFmtId="0" fontId="36" fillId="0" borderId="0" xfId="0" applyFont="1" applyFill="1" applyAlignment="1">
      <alignment horizontal="center"/>
    </xf>
    <xf numFmtId="0" fontId="34" fillId="0" borderId="5" xfId="0" applyFont="1" applyFill="1" applyBorder="1" applyAlignment="1">
      <alignment horizontal="left" vertical="center" wrapText="1"/>
    </xf>
    <xf numFmtId="0" fontId="34" fillId="0" borderId="6" xfId="0" applyFont="1" applyFill="1" applyBorder="1" applyAlignment="1">
      <alignment horizontal="left" vertical="center" wrapText="1"/>
    </xf>
    <xf numFmtId="0" fontId="34" fillId="0" borderId="7" xfId="0" applyFont="1" applyFill="1" applyBorder="1" applyAlignment="1">
      <alignment horizontal="left" vertical="center" wrapText="1"/>
    </xf>
    <xf numFmtId="166" fontId="35" fillId="0" borderId="5" xfId="0" applyNumberFormat="1" applyFont="1" applyFill="1" applyBorder="1" applyAlignment="1">
      <alignment horizontal="left" vertical="center" wrapText="1"/>
    </xf>
    <xf numFmtId="166" fontId="35" fillId="0" borderId="6" xfId="0" applyNumberFormat="1" applyFont="1" applyFill="1" applyBorder="1" applyAlignment="1">
      <alignment horizontal="left" vertical="center" wrapText="1"/>
    </xf>
    <xf numFmtId="166" fontId="35" fillId="0" borderId="7" xfId="0" applyNumberFormat="1" applyFont="1" applyFill="1" applyBorder="1" applyAlignment="1">
      <alignment horizontal="left" vertical="center" wrapText="1"/>
    </xf>
    <xf numFmtId="0" fontId="35" fillId="0" borderId="4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21" xfId="0" applyFont="1" applyFill="1" applyBorder="1" applyAlignment="1">
      <alignment horizontal="center" vertical="center" wrapText="1"/>
    </xf>
    <xf numFmtId="0" fontId="35" fillId="0" borderId="10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8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35" fillId="0" borderId="1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38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7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center" wrapText="1"/>
    </xf>
    <xf numFmtId="0" fontId="3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1" xfId="3" applyFont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/>
    </xf>
    <xf numFmtId="0" fontId="29" fillId="0" borderId="4" xfId="0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38" fillId="0" borderId="0" xfId="0" applyFont="1" applyAlignment="1"/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5" fillId="2" borderId="5" xfId="0" applyFont="1" applyFill="1" applyBorder="1" applyAlignment="1">
      <alignment horizontal="center" vertical="center" wrapText="1"/>
    </xf>
    <xf numFmtId="0" fontId="35" fillId="2" borderId="6" xfId="0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 wrapText="1"/>
    </xf>
    <xf numFmtId="0" fontId="35" fillId="2" borderId="9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35" fillId="2" borderId="21" xfId="0" applyFont="1" applyFill="1" applyBorder="1" applyAlignment="1">
      <alignment horizontal="center" vertical="center" wrapText="1"/>
    </xf>
    <xf numFmtId="0" fontId="35" fillId="2" borderId="1" xfId="0" applyFont="1" applyFill="1" applyBorder="1" applyAlignment="1">
      <alignment horizontal="center" vertical="center" wrapText="1"/>
    </xf>
    <xf numFmtId="0" fontId="35" fillId="2" borderId="7" xfId="0" applyFont="1" applyFill="1" applyBorder="1" applyAlignment="1">
      <alignment horizontal="center" vertical="center" wrapText="1"/>
    </xf>
    <xf numFmtId="0" fontId="36" fillId="2" borderId="0" xfId="0" applyFont="1" applyFill="1" applyAlignment="1">
      <alignment horizontal="center" vertical="center"/>
    </xf>
    <xf numFmtId="0" fontId="35" fillId="0" borderId="0" xfId="0" applyFont="1" applyFill="1" applyBorder="1" applyAlignment="1">
      <alignment horizontal="left" wrapText="1"/>
    </xf>
    <xf numFmtId="0" fontId="40" fillId="0" borderId="0" xfId="0" applyFont="1" applyAlignment="1">
      <alignment horizontal="left"/>
    </xf>
    <xf numFmtId="0" fontId="40" fillId="0" borderId="0" xfId="0" applyFont="1" applyAlignment="1"/>
  </cellXfs>
  <cellStyles count="4">
    <cellStyle name="Обычный" xfId="0" builtinId="0"/>
    <cellStyle name="Обычный 10" xfId="2" xr:uid="{00000000-0005-0000-0000-000001000000}"/>
    <cellStyle name="Обычный 10 2 2" xfId="3" xr:uid="{00000000-0005-0000-0000-000002000000}"/>
    <cellStyle name="Обычный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7"/>
  <sheetViews>
    <sheetView topLeftCell="H28" workbookViewId="0">
      <selection activeCell="Q58" sqref="Q58"/>
    </sheetView>
  </sheetViews>
  <sheetFormatPr defaultRowHeight="15" x14ac:dyDescent="0.25"/>
  <cols>
    <col min="1" max="1" width="6.28515625" style="82" customWidth="1"/>
    <col min="2" max="2" width="50.28515625" style="83" customWidth="1"/>
    <col min="3" max="3" width="13.28515625" style="82" customWidth="1"/>
    <col min="4" max="4" width="13.42578125" style="84" customWidth="1"/>
    <col min="5" max="5" width="13.42578125" style="82" customWidth="1"/>
    <col min="6" max="6" width="11.140625" style="84" customWidth="1"/>
    <col min="7" max="8" width="11.7109375" style="82" customWidth="1"/>
    <col min="9" max="9" width="13.85546875" style="85" customWidth="1"/>
    <col min="10" max="10" width="15.28515625" style="84" customWidth="1"/>
    <col min="11" max="11" width="11.7109375" style="84" customWidth="1"/>
    <col min="12" max="13" width="11.7109375" style="82" customWidth="1"/>
    <col min="14" max="18" width="14.140625" style="82" customWidth="1"/>
    <col min="19" max="19" width="14.140625" style="86" customWidth="1"/>
    <col min="20" max="20" width="14.140625" style="82" customWidth="1"/>
    <col min="21" max="21" width="9.5703125" style="82" bestFit="1" customWidth="1"/>
    <col min="22" max="256" width="9.140625" style="82"/>
    <col min="257" max="257" width="6.28515625" style="82" customWidth="1"/>
    <col min="258" max="258" width="50.28515625" style="82" customWidth="1"/>
    <col min="259" max="259" width="13.28515625" style="82" customWidth="1"/>
    <col min="260" max="261" width="13.42578125" style="82" customWidth="1"/>
    <col min="262" max="262" width="11.140625" style="82" customWidth="1"/>
    <col min="263" max="264" width="11.7109375" style="82" customWidth="1"/>
    <col min="265" max="265" width="13.85546875" style="82" customWidth="1"/>
    <col min="266" max="266" width="15.28515625" style="82" customWidth="1"/>
    <col min="267" max="269" width="11.7109375" style="82" customWidth="1"/>
    <col min="270" max="276" width="14.140625" style="82" customWidth="1"/>
    <col min="277" max="277" width="9.5703125" style="82" bestFit="1" customWidth="1"/>
    <col min="278" max="512" width="9.140625" style="82"/>
    <col min="513" max="513" width="6.28515625" style="82" customWidth="1"/>
    <col min="514" max="514" width="50.28515625" style="82" customWidth="1"/>
    <col min="515" max="515" width="13.28515625" style="82" customWidth="1"/>
    <col min="516" max="517" width="13.42578125" style="82" customWidth="1"/>
    <col min="518" max="518" width="11.140625" style="82" customWidth="1"/>
    <col min="519" max="520" width="11.7109375" style="82" customWidth="1"/>
    <col min="521" max="521" width="13.85546875" style="82" customWidth="1"/>
    <col min="522" max="522" width="15.28515625" style="82" customWidth="1"/>
    <col min="523" max="525" width="11.7109375" style="82" customWidth="1"/>
    <col min="526" max="532" width="14.140625" style="82" customWidth="1"/>
    <col min="533" max="533" width="9.5703125" style="82" bestFit="1" customWidth="1"/>
    <col min="534" max="768" width="9.140625" style="82"/>
    <col min="769" max="769" width="6.28515625" style="82" customWidth="1"/>
    <col min="770" max="770" width="50.28515625" style="82" customWidth="1"/>
    <col min="771" max="771" width="13.28515625" style="82" customWidth="1"/>
    <col min="772" max="773" width="13.42578125" style="82" customWidth="1"/>
    <col min="774" max="774" width="11.140625" style="82" customWidth="1"/>
    <col min="775" max="776" width="11.7109375" style="82" customWidth="1"/>
    <col min="777" max="777" width="13.85546875" style="82" customWidth="1"/>
    <col min="778" max="778" width="15.28515625" style="82" customWidth="1"/>
    <col min="779" max="781" width="11.7109375" style="82" customWidth="1"/>
    <col min="782" max="788" width="14.140625" style="82" customWidth="1"/>
    <col min="789" max="789" width="9.5703125" style="82" bestFit="1" customWidth="1"/>
    <col min="790" max="1024" width="9.140625" style="82"/>
    <col min="1025" max="1025" width="6.28515625" style="82" customWidth="1"/>
    <col min="1026" max="1026" width="50.28515625" style="82" customWidth="1"/>
    <col min="1027" max="1027" width="13.28515625" style="82" customWidth="1"/>
    <col min="1028" max="1029" width="13.42578125" style="82" customWidth="1"/>
    <col min="1030" max="1030" width="11.140625" style="82" customWidth="1"/>
    <col min="1031" max="1032" width="11.7109375" style="82" customWidth="1"/>
    <col min="1033" max="1033" width="13.85546875" style="82" customWidth="1"/>
    <col min="1034" max="1034" width="15.28515625" style="82" customWidth="1"/>
    <col min="1035" max="1037" width="11.7109375" style="82" customWidth="1"/>
    <col min="1038" max="1044" width="14.140625" style="82" customWidth="1"/>
    <col min="1045" max="1045" width="9.5703125" style="82" bestFit="1" customWidth="1"/>
    <col min="1046" max="1280" width="9.140625" style="82"/>
    <col min="1281" max="1281" width="6.28515625" style="82" customWidth="1"/>
    <col min="1282" max="1282" width="50.28515625" style="82" customWidth="1"/>
    <col min="1283" max="1283" width="13.28515625" style="82" customWidth="1"/>
    <col min="1284" max="1285" width="13.42578125" style="82" customWidth="1"/>
    <col min="1286" max="1286" width="11.140625" style="82" customWidth="1"/>
    <col min="1287" max="1288" width="11.7109375" style="82" customWidth="1"/>
    <col min="1289" max="1289" width="13.85546875" style="82" customWidth="1"/>
    <col min="1290" max="1290" width="15.28515625" style="82" customWidth="1"/>
    <col min="1291" max="1293" width="11.7109375" style="82" customWidth="1"/>
    <col min="1294" max="1300" width="14.140625" style="82" customWidth="1"/>
    <col min="1301" max="1301" width="9.5703125" style="82" bestFit="1" customWidth="1"/>
    <col min="1302" max="1536" width="9.140625" style="82"/>
    <col min="1537" max="1537" width="6.28515625" style="82" customWidth="1"/>
    <col min="1538" max="1538" width="50.28515625" style="82" customWidth="1"/>
    <col min="1539" max="1539" width="13.28515625" style="82" customWidth="1"/>
    <col min="1540" max="1541" width="13.42578125" style="82" customWidth="1"/>
    <col min="1542" max="1542" width="11.140625" style="82" customWidth="1"/>
    <col min="1543" max="1544" width="11.7109375" style="82" customWidth="1"/>
    <col min="1545" max="1545" width="13.85546875" style="82" customWidth="1"/>
    <col min="1546" max="1546" width="15.28515625" style="82" customWidth="1"/>
    <col min="1547" max="1549" width="11.7109375" style="82" customWidth="1"/>
    <col min="1550" max="1556" width="14.140625" style="82" customWidth="1"/>
    <col min="1557" max="1557" width="9.5703125" style="82" bestFit="1" customWidth="1"/>
    <col min="1558" max="1792" width="9.140625" style="82"/>
    <col min="1793" max="1793" width="6.28515625" style="82" customWidth="1"/>
    <col min="1794" max="1794" width="50.28515625" style="82" customWidth="1"/>
    <col min="1795" max="1795" width="13.28515625" style="82" customWidth="1"/>
    <col min="1796" max="1797" width="13.42578125" style="82" customWidth="1"/>
    <col min="1798" max="1798" width="11.140625" style="82" customWidth="1"/>
    <col min="1799" max="1800" width="11.7109375" style="82" customWidth="1"/>
    <col min="1801" max="1801" width="13.85546875" style="82" customWidth="1"/>
    <col min="1802" max="1802" width="15.28515625" style="82" customWidth="1"/>
    <col min="1803" max="1805" width="11.7109375" style="82" customWidth="1"/>
    <col min="1806" max="1812" width="14.140625" style="82" customWidth="1"/>
    <col min="1813" max="1813" width="9.5703125" style="82" bestFit="1" customWidth="1"/>
    <col min="1814" max="2048" width="9.140625" style="82"/>
    <col min="2049" max="2049" width="6.28515625" style="82" customWidth="1"/>
    <col min="2050" max="2050" width="50.28515625" style="82" customWidth="1"/>
    <col min="2051" max="2051" width="13.28515625" style="82" customWidth="1"/>
    <col min="2052" max="2053" width="13.42578125" style="82" customWidth="1"/>
    <col min="2054" max="2054" width="11.140625" style="82" customWidth="1"/>
    <col min="2055" max="2056" width="11.7109375" style="82" customWidth="1"/>
    <col min="2057" max="2057" width="13.85546875" style="82" customWidth="1"/>
    <col min="2058" max="2058" width="15.28515625" style="82" customWidth="1"/>
    <col min="2059" max="2061" width="11.7109375" style="82" customWidth="1"/>
    <col min="2062" max="2068" width="14.140625" style="82" customWidth="1"/>
    <col min="2069" max="2069" width="9.5703125" style="82" bestFit="1" customWidth="1"/>
    <col min="2070" max="2304" width="9.140625" style="82"/>
    <col min="2305" max="2305" width="6.28515625" style="82" customWidth="1"/>
    <col min="2306" max="2306" width="50.28515625" style="82" customWidth="1"/>
    <col min="2307" max="2307" width="13.28515625" style="82" customWidth="1"/>
    <col min="2308" max="2309" width="13.42578125" style="82" customWidth="1"/>
    <col min="2310" max="2310" width="11.140625" style="82" customWidth="1"/>
    <col min="2311" max="2312" width="11.7109375" style="82" customWidth="1"/>
    <col min="2313" max="2313" width="13.85546875" style="82" customWidth="1"/>
    <col min="2314" max="2314" width="15.28515625" style="82" customWidth="1"/>
    <col min="2315" max="2317" width="11.7109375" style="82" customWidth="1"/>
    <col min="2318" max="2324" width="14.140625" style="82" customWidth="1"/>
    <col min="2325" max="2325" width="9.5703125" style="82" bestFit="1" customWidth="1"/>
    <col min="2326" max="2560" width="9.140625" style="82"/>
    <col min="2561" max="2561" width="6.28515625" style="82" customWidth="1"/>
    <col min="2562" max="2562" width="50.28515625" style="82" customWidth="1"/>
    <col min="2563" max="2563" width="13.28515625" style="82" customWidth="1"/>
    <col min="2564" max="2565" width="13.42578125" style="82" customWidth="1"/>
    <col min="2566" max="2566" width="11.140625" style="82" customWidth="1"/>
    <col min="2567" max="2568" width="11.7109375" style="82" customWidth="1"/>
    <col min="2569" max="2569" width="13.85546875" style="82" customWidth="1"/>
    <col min="2570" max="2570" width="15.28515625" style="82" customWidth="1"/>
    <col min="2571" max="2573" width="11.7109375" style="82" customWidth="1"/>
    <col min="2574" max="2580" width="14.140625" style="82" customWidth="1"/>
    <col min="2581" max="2581" width="9.5703125" style="82" bestFit="1" customWidth="1"/>
    <col min="2582" max="2816" width="9.140625" style="82"/>
    <col min="2817" max="2817" width="6.28515625" style="82" customWidth="1"/>
    <col min="2818" max="2818" width="50.28515625" style="82" customWidth="1"/>
    <col min="2819" max="2819" width="13.28515625" style="82" customWidth="1"/>
    <col min="2820" max="2821" width="13.42578125" style="82" customWidth="1"/>
    <col min="2822" max="2822" width="11.140625" style="82" customWidth="1"/>
    <col min="2823" max="2824" width="11.7109375" style="82" customWidth="1"/>
    <col min="2825" max="2825" width="13.85546875" style="82" customWidth="1"/>
    <col min="2826" max="2826" width="15.28515625" style="82" customWidth="1"/>
    <col min="2827" max="2829" width="11.7109375" style="82" customWidth="1"/>
    <col min="2830" max="2836" width="14.140625" style="82" customWidth="1"/>
    <col min="2837" max="2837" width="9.5703125" style="82" bestFit="1" customWidth="1"/>
    <col min="2838" max="3072" width="9.140625" style="82"/>
    <col min="3073" max="3073" width="6.28515625" style="82" customWidth="1"/>
    <col min="3074" max="3074" width="50.28515625" style="82" customWidth="1"/>
    <col min="3075" max="3075" width="13.28515625" style="82" customWidth="1"/>
    <col min="3076" max="3077" width="13.42578125" style="82" customWidth="1"/>
    <col min="3078" max="3078" width="11.140625" style="82" customWidth="1"/>
    <col min="3079" max="3080" width="11.7109375" style="82" customWidth="1"/>
    <col min="3081" max="3081" width="13.85546875" style="82" customWidth="1"/>
    <col min="3082" max="3082" width="15.28515625" style="82" customWidth="1"/>
    <col min="3083" max="3085" width="11.7109375" style="82" customWidth="1"/>
    <col min="3086" max="3092" width="14.140625" style="82" customWidth="1"/>
    <col min="3093" max="3093" width="9.5703125" style="82" bestFit="1" customWidth="1"/>
    <col min="3094" max="3328" width="9.140625" style="82"/>
    <col min="3329" max="3329" width="6.28515625" style="82" customWidth="1"/>
    <col min="3330" max="3330" width="50.28515625" style="82" customWidth="1"/>
    <col min="3331" max="3331" width="13.28515625" style="82" customWidth="1"/>
    <col min="3332" max="3333" width="13.42578125" style="82" customWidth="1"/>
    <col min="3334" max="3334" width="11.140625" style="82" customWidth="1"/>
    <col min="3335" max="3336" width="11.7109375" style="82" customWidth="1"/>
    <col min="3337" max="3337" width="13.85546875" style="82" customWidth="1"/>
    <col min="3338" max="3338" width="15.28515625" style="82" customWidth="1"/>
    <col min="3339" max="3341" width="11.7109375" style="82" customWidth="1"/>
    <col min="3342" max="3348" width="14.140625" style="82" customWidth="1"/>
    <col min="3349" max="3349" width="9.5703125" style="82" bestFit="1" customWidth="1"/>
    <col min="3350" max="3584" width="9.140625" style="82"/>
    <col min="3585" max="3585" width="6.28515625" style="82" customWidth="1"/>
    <col min="3586" max="3586" width="50.28515625" style="82" customWidth="1"/>
    <col min="3587" max="3587" width="13.28515625" style="82" customWidth="1"/>
    <col min="3588" max="3589" width="13.42578125" style="82" customWidth="1"/>
    <col min="3590" max="3590" width="11.140625" style="82" customWidth="1"/>
    <col min="3591" max="3592" width="11.7109375" style="82" customWidth="1"/>
    <col min="3593" max="3593" width="13.85546875" style="82" customWidth="1"/>
    <col min="3594" max="3594" width="15.28515625" style="82" customWidth="1"/>
    <col min="3595" max="3597" width="11.7109375" style="82" customWidth="1"/>
    <col min="3598" max="3604" width="14.140625" style="82" customWidth="1"/>
    <col min="3605" max="3605" width="9.5703125" style="82" bestFit="1" customWidth="1"/>
    <col min="3606" max="3840" width="9.140625" style="82"/>
    <col min="3841" max="3841" width="6.28515625" style="82" customWidth="1"/>
    <col min="3842" max="3842" width="50.28515625" style="82" customWidth="1"/>
    <col min="3843" max="3843" width="13.28515625" style="82" customWidth="1"/>
    <col min="3844" max="3845" width="13.42578125" style="82" customWidth="1"/>
    <col min="3846" max="3846" width="11.140625" style="82" customWidth="1"/>
    <col min="3847" max="3848" width="11.7109375" style="82" customWidth="1"/>
    <col min="3849" max="3849" width="13.85546875" style="82" customWidth="1"/>
    <col min="3850" max="3850" width="15.28515625" style="82" customWidth="1"/>
    <col min="3851" max="3853" width="11.7109375" style="82" customWidth="1"/>
    <col min="3854" max="3860" width="14.140625" style="82" customWidth="1"/>
    <col min="3861" max="3861" width="9.5703125" style="82" bestFit="1" customWidth="1"/>
    <col min="3862" max="4096" width="9.140625" style="82"/>
    <col min="4097" max="4097" width="6.28515625" style="82" customWidth="1"/>
    <col min="4098" max="4098" width="50.28515625" style="82" customWidth="1"/>
    <col min="4099" max="4099" width="13.28515625" style="82" customWidth="1"/>
    <col min="4100" max="4101" width="13.42578125" style="82" customWidth="1"/>
    <col min="4102" max="4102" width="11.140625" style="82" customWidth="1"/>
    <col min="4103" max="4104" width="11.7109375" style="82" customWidth="1"/>
    <col min="4105" max="4105" width="13.85546875" style="82" customWidth="1"/>
    <col min="4106" max="4106" width="15.28515625" style="82" customWidth="1"/>
    <col min="4107" max="4109" width="11.7109375" style="82" customWidth="1"/>
    <col min="4110" max="4116" width="14.140625" style="82" customWidth="1"/>
    <col min="4117" max="4117" width="9.5703125" style="82" bestFit="1" customWidth="1"/>
    <col min="4118" max="4352" width="9.140625" style="82"/>
    <col min="4353" max="4353" width="6.28515625" style="82" customWidth="1"/>
    <col min="4354" max="4354" width="50.28515625" style="82" customWidth="1"/>
    <col min="4355" max="4355" width="13.28515625" style="82" customWidth="1"/>
    <col min="4356" max="4357" width="13.42578125" style="82" customWidth="1"/>
    <col min="4358" max="4358" width="11.140625" style="82" customWidth="1"/>
    <col min="4359" max="4360" width="11.7109375" style="82" customWidth="1"/>
    <col min="4361" max="4361" width="13.85546875" style="82" customWidth="1"/>
    <col min="4362" max="4362" width="15.28515625" style="82" customWidth="1"/>
    <col min="4363" max="4365" width="11.7109375" style="82" customWidth="1"/>
    <col min="4366" max="4372" width="14.140625" style="82" customWidth="1"/>
    <col min="4373" max="4373" width="9.5703125" style="82" bestFit="1" customWidth="1"/>
    <col min="4374" max="4608" width="9.140625" style="82"/>
    <col min="4609" max="4609" width="6.28515625" style="82" customWidth="1"/>
    <col min="4610" max="4610" width="50.28515625" style="82" customWidth="1"/>
    <col min="4611" max="4611" width="13.28515625" style="82" customWidth="1"/>
    <col min="4612" max="4613" width="13.42578125" style="82" customWidth="1"/>
    <col min="4614" max="4614" width="11.140625" style="82" customWidth="1"/>
    <col min="4615" max="4616" width="11.7109375" style="82" customWidth="1"/>
    <col min="4617" max="4617" width="13.85546875" style="82" customWidth="1"/>
    <col min="4618" max="4618" width="15.28515625" style="82" customWidth="1"/>
    <col min="4619" max="4621" width="11.7109375" style="82" customWidth="1"/>
    <col min="4622" max="4628" width="14.140625" style="82" customWidth="1"/>
    <col min="4629" max="4629" width="9.5703125" style="82" bestFit="1" customWidth="1"/>
    <col min="4630" max="4864" width="9.140625" style="82"/>
    <col min="4865" max="4865" width="6.28515625" style="82" customWidth="1"/>
    <col min="4866" max="4866" width="50.28515625" style="82" customWidth="1"/>
    <col min="4867" max="4867" width="13.28515625" style="82" customWidth="1"/>
    <col min="4868" max="4869" width="13.42578125" style="82" customWidth="1"/>
    <col min="4870" max="4870" width="11.140625" style="82" customWidth="1"/>
    <col min="4871" max="4872" width="11.7109375" style="82" customWidth="1"/>
    <col min="4873" max="4873" width="13.85546875" style="82" customWidth="1"/>
    <col min="4874" max="4874" width="15.28515625" style="82" customWidth="1"/>
    <col min="4875" max="4877" width="11.7109375" style="82" customWidth="1"/>
    <col min="4878" max="4884" width="14.140625" style="82" customWidth="1"/>
    <col min="4885" max="4885" width="9.5703125" style="82" bestFit="1" customWidth="1"/>
    <col min="4886" max="5120" width="9.140625" style="82"/>
    <col min="5121" max="5121" width="6.28515625" style="82" customWidth="1"/>
    <col min="5122" max="5122" width="50.28515625" style="82" customWidth="1"/>
    <col min="5123" max="5123" width="13.28515625" style="82" customWidth="1"/>
    <col min="5124" max="5125" width="13.42578125" style="82" customWidth="1"/>
    <col min="5126" max="5126" width="11.140625" style="82" customWidth="1"/>
    <col min="5127" max="5128" width="11.7109375" style="82" customWidth="1"/>
    <col min="5129" max="5129" width="13.85546875" style="82" customWidth="1"/>
    <col min="5130" max="5130" width="15.28515625" style="82" customWidth="1"/>
    <col min="5131" max="5133" width="11.7109375" style="82" customWidth="1"/>
    <col min="5134" max="5140" width="14.140625" style="82" customWidth="1"/>
    <col min="5141" max="5141" width="9.5703125" style="82" bestFit="1" customWidth="1"/>
    <col min="5142" max="5376" width="9.140625" style="82"/>
    <col min="5377" max="5377" width="6.28515625" style="82" customWidth="1"/>
    <col min="5378" max="5378" width="50.28515625" style="82" customWidth="1"/>
    <col min="5379" max="5379" width="13.28515625" style="82" customWidth="1"/>
    <col min="5380" max="5381" width="13.42578125" style="82" customWidth="1"/>
    <col min="5382" max="5382" width="11.140625" style="82" customWidth="1"/>
    <col min="5383" max="5384" width="11.7109375" style="82" customWidth="1"/>
    <col min="5385" max="5385" width="13.85546875" style="82" customWidth="1"/>
    <col min="5386" max="5386" width="15.28515625" style="82" customWidth="1"/>
    <col min="5387" max="5389" width="11.7109375" style="82" customWidth="1"/>
    <col min="5390" max="5396" width="14.140625" style="82" customWidth="1"/>
    <col min="5397" max="5397" width="9.5703125" style="82" bestFit="1" customWidth="1"/>
    <col min="5398" max="5632" width="9.140625" style="82"/>
    <col min="5633" max="5633" width="6.28515625" style="82" customWidth="1"/>
    <col min="5634" max="5634" width="50.28515625" style="82" customWidth="1"/>
    <col min="5635" max="5635" width="13.28515625" style="82" customWidth="1"/>
    <col min="5636" max="5637" width="13.42578125" style="82" customWidth="1"/>
    <col min="5638" max="5638" width="11.140625" style="82" customWidth="1"/>
    <col min="5639" max="5640" width="11.7109375" style="82" customWidth="1"/>
    <col min="5641" max="5641" width="13.85546875" style="82" customWidth="1"/>
    <col min="5642" max="5642" width="15.28515625" style="82" customWidth="1"/>
    <col min="5643" max="5645" width="11.7109375" style="82" customWidth="1"/>
    <col min="5646" max="5652" width="14.140625" style="82" customWidth="1"/>
    <col min="5653" max="5653" width="9.5703125" style="82" bestFit="1" customWidth="1"/>
    <col min="5654" max="5888" width="9.140625" style="82"/>
    <col min="5889" max="5889" width="6.28515625" style="82" customWidth="1"/>
    <col min="5890" max="5890" width="50.28515625" style="82" customWidth="1"/>
    <col min="5891" max="5891" width="13.28515625" style="82" customWidth="1"/>
    <col min="5892" max="5893" width="13.42578125" style="82" customWidth="1"/>
    <col min="5894" max="5894" width="11.140625" style="82" customWidth="1"/>
    <col min="5895" max="5896" width="11.7109375" style="82" customWidth="1"/>
    <col min="5897" max="5897" width="13.85546875" style="82" customWidth="1"/>
    <col min="5898" max="5898" width="15.28515625" style="82" customWidth="1"/>
    <col min="5899" max="5901" width="11.7109375" style="82" customWidth="1"/>
    <col min="5902" max="5908" width="14.140625" style="82" customWidth="1"/>
    <col min="5909" max="5909" width="9.5703125" style="82" bestFit="1" customWidth="1"/>
    <col min="5910" max="6144" width="9.140625" style="82"/>
    <col min="6145" max="6145" width="6.28515625" style="82" customWidth="1"/>
    <col min="6146" max="6146" width="50.28515625" style="82" customWidth="1"/>
    <col min="6147" max="6147" width="13.28515625" style="82" customWidth="1"/>
    <col min="6148" max="6149" width="13.42578125" style="82" customWidth="1"/>
    <col min="6150" max="6150" width="11.140625" style="82" customWidth="1"/>
    <col min="6151" max="6152" width="11.7109375" style="82" customWidth="1"/>
    <col min="6153" max="6153" width="13.85546875" style="82" customWidth="1"/>
    <col min="6154" max="6154" width="15.28515625" style="82" customWidth="1"/>
    <col min="6155" max="6157" width="11.7109375" style="82" customWidth="1"/>
    <col min="6158" max="6164" width="14.140625" style="82" customWidth="1"/>
    <col min="6165" max="6165" width="9.5703125" style="82" bestFit="1" customWidth="1"/>
    <col min="6166" max="6400" width="9.140625" style="82"/>
    <col min="6401" max="6401" width="6.28515625" style="82" customWidth="1"/>
    <col min="6402" max="6402" width="50.28515625" style="82" customWidth="1"/>
    <col min="6403" max="6403" width="13.28515625" style="82" customWidth="1"/>
    <col min="6404" max="6405" width="13.42578125" style="82" customWidth="1"/>
    <col min="6406" max="6406" width="11.140625" style="82" customWidth="1"/>
    <col min="6407" max="6408" width="11.7109375" style="82" customWidth="1"/>
    <col min="6409" max="6409" width="13.85546875" style="82" customWidth="1"/>
    <col min="6410" max="6410" width="15.28515625" style="82" customWidth="1"/>
    <col min="6411" max="6413" width="11.7109375" style="82" customWidth="1"/>
    <col min="6414" max="6420" width="14.140625" style="82" customWidth="1"/>
    <col min="6421" max="6421" width="9.5703125" style="82" bestFit="1" customWidth="1"/>
    <col min="6422" max="6656" width="9.140625" style="82"/>
    <col min="6657" max="6657" width="6.28515625" style="82" customWidth="1"/>
    <col min="6658" max="6658" width="50.28515625" style="82" customWidth="1"/>
    <col min="6659" max="6659" width="13.28515625" style="82" customWidth="1"/>
    <col min="6660" max="6661" width="13.42578125" style="82" customWidth="1"/>
    <col min="6662" max="6662" width="11.140625" style="82" customWidth="1"/>
    <col min="6663" max="6664" width="11.7109375" style="82" customWidth="1"/>
    <col min="6665" max="6665" width="13.85546875" style="82" customWidth="1"/>
    <col min="6666" max="6666" width="15.28515625" style="82" customWidth="1"/>
    <col min="6667" max="6669" width="11.7109375" style="82" customWidth="1"/>
    <col min="6670" max="6676" width="14.140625" style="82" customWidth="1"/>
    <col min="6677" max="6677" width="9.5703125" style="82" bestFit="1" customWidth="1"/>
    <col min="6678" max="6912" width="9.140625" style="82"/>
    <col min="6913" max="6913" width="6.28515625" style="82" customWidth="1"/>
    <col min="6914" max="6914" width="50.28515625" style="82" customWidth="1"/>
    <col min="6915" max="6915" width="13.28515625" style="82" customWidth="1"/>
    <col min="6916" max="6917" width="13.42578125" style="82" customWidth="1"/>
    <col min="6918" max="6918" width="11.140625" style="82" customWidth="1"/>
    <col min="6919" max="6920" width="11.7109375" style="82" customWidth="1"/>
    <col min="6921" max="6921" width="13.85546875" style="82" customWidth="1"/>
    <col min="6922" max="6922" width="15.28515625" style="82" customWidth="1"/>
    <col min="6923" max="6925" width="11.7109375" style="82" customWidth="1"/>
    <col min="6926" max="6932" width="14.140625" style="82" customWidth="1"/>
    <col min="6933" max="6933" width="9.5703125" style="82" bestFit="1" customWidth="1"/>
    <col min="6934" max="7168" width="9.140625" style="82"/>
    <col min="7169" max="7169" width="6.28515625" style="82" customWidth="1"/>
    <col min="7170" max="7170" width="50.28515625" style="82" customWidth="1"/>
    <col min="7171" max="7171" width="13.28515625" style="82" customWidth="1"/>
    <col min="7172" max="7173" width="13.42578125" style="82" customWidth="1"/>
    <col min="7174" max="7174" width="11.140625" style="82" customWidth="1"/>
    <col min="7175" max="7176" width="11.7109375" style="82" customWidth="1"/>
    <col min="7177" max="7177" width="13.85546875" style="82" customWidth="1"/>
    <col min="7178" max="7178" width="15.28515625" style="82" customWidth="1"/>
    <col min="7179" max="7181" width="11.7109375" style="82" customWidth="1"/>
    <col min="7182" max="7188" width="14.140625" style="82" customWidth="1"/>
    <col min="7189" max="7189" width="9.5703125" style="82" bestFit="1" customWidth="1"/>
    <col min="7190" max="7424" width="9.140625" style="82"/>
    <col min="7425" max="7425" width="6.28515625" style="82" customWidth="1"/>
    <col min="7426" max="7426" width="50.28515625" style="82" customWidth="1"/>
    <col min="7427" max="7427" width="13.28515625" style="82" customWidth="1"/>
    <col min="7428" max="7429" width="13.42578125" style="82" customWidth="1"/>
    <col min="7430" max="7430" width="11.140625" style="82" customWidth="1"/>
    <col min="7431" max="7432" width="11.7109375" style="82" customWidth="1"/>
    <col min="7433" max="7433" width="13.85546875" style="82" customWidth="1"/>
    <col min="7434" max="7434" width="15.28515625" style="82" customWidth="1"/>
    <col min="7435" max="7437" width="11.7109375" style="82" customWidth="1"/>
    <col min="7438" max="7444" width="14.140625" style="82" customWidth="1"/>
    <col min="7445" max="7445" width="9.5703125" style="82" bestFit="1" customWidth="1"/>
    <col min="7446" max="7680" width="9.140625" style="82"/>
    <col min="7681" max="7681" width="6.28515625" style="82" customWidth="1"/>
    <col min="7682" max="7682" width="50.28515625" style="82" customWidth="1"/>
    <col min="7683" max="7683" width="13.28515625" style="82" customWidth="1"/>
    <col min="7684" max="7685" width="13.42578125" style="82" customWidth="1"/>
    <col min="7686" max="7686" width="11.140625" style="82" customWidth="1"/>
    <col min="7687" max="7688" width="11.7109375" style="82" customWidth="1"/>
    <col min="7689" max="7689" width="13.85546875" style="82" customWidth="1"/>
    <col min="7690" max="7690" width="15.28515625" style="82" customWidth="1"/>
    <col min="7691" max="7693" width="11.7109375" style="82" customWidth="1"/>
    <col min="7694" max="7700" width="14.140625" style="82" customWidth="1"/>
    <col min="7701" max="7701" width="9.5703125" style="82" bestFit="1" customWidth="1"/>
    <col min="7702" max="7936" width="9.140625" style="82"/>
    <col min="7937" max="7937" width="6.28515625" style="82" customWidth="1"/>
    <col min="7938" max="7938" width="50.28515625" style="82" customWidth="1"/>
    <col min="7939" max="7939" width="13.28515625" style="82" customWidth="1"/>
    <col min="7940" max="7941" width="13.42578125" style="82" customWidth="1"/>
    <col min="7942" max="7942" width="11.140625" style="82" customWidth="1"/>
    <col min="7943" max="7944" width="11.7109375" style="82" customWidth="1"/>
    <col min="7945" max="7945" width="13.85546875" style="82" customWidth="1"/>
    <col min="7946" max="7946" width="15.28515625" style="82" customWidth="1"/>
    <col min="7947" max="7949" width="11.7109375" style="82" customWidth="1"/>
    <col min="7950" max="7956" width="14.140625" style="82" customWidth="1"/>
    <col min="7957" max="7957" width="9.5703125" style="82" bestFit="1" customWidth="1"/>
    <col min="7958" max="8192" width="9.140625" style="82"/>
    <col min="8193" max="8193" width="6.28515625" style="82" customWidth="1"/>
    <col min="8194" max="8194" width="50.28515625" style="82" customWidth="1"/>
    <col min="8195" max="8195" width="13.28515625" style="82" customWidth="1"/>
    <col min="8196" max="8197" width="13.42578125" style="82" customWidth="1"/>
    <col min="8198" max="8198" width="11.140625" style="82" customWidth="1"/>
    <col min="8199" max="8200" width="11.7109375" style="82" customWidth="1"/>
    <col min="8201" max="8201" width="13.85546875" style="82" customWidth="1"/>
    <col min="8202" max="8202" width="15.28515625" style="82" customWidth="1"/>
    <col min="8203" max="8205" width="11.7109375" style="82" customWidth="1"/>
    <col min="8206" max="8212" width="14.140625" style="82" customWidth="1"/>
    <col min="8213" max="8213" width="9.5703125" style="82" bestFit="1" customWidth="1"/>
    <col min="8214" max="8448" width="9.140625" style="82"/>
    <col min="8449" max="8449" width="6.28515625" style="82" customWidth="1"/>
    <col min="8450" max="8450" width="50.28515625" style="82" customWidth="1"/>
    <col min="8451" max="8451" width="13.28515625" style="82" customWidth="1"/>
    <col min="8452" max="8453" width="13.42578125" style="82" customWidth="1"/>
    <col min="8454" max="8454" width="11.140625" style="82" customWidth="1"/>
    <col min="8455" max="8456" width="11.7109375" style="82" customWidth="1"/>
    <col min="8457" max="8457" width="13.85546875" style="82" customWidth="1"/>
    <col min="8458" max="8458" width="15.28515625" style="82" customWidth="1"/>
    <col min="8459" max="8461" width="11.7109375" style="82" customWidth="1"/>
    <col min="8462" max="8468" width="14.140625" style="82" customWidth="1"/>
    <col min="8469" max="8469" width="9.5703125" style="82" bestFit="1" customWidth="1"/>
    <col min="8470" max="8704" width="9.140625" style="82"/>
    <col min="8705" max="8705" width="6.28515625" style="82" customWidth="1"/>
    <col min="8706" max="8706" width="50.28515625" style="82" customWidth="1"/>
    <col min="8707" max="8707" width="13.28515625" style="82" customWidth="1"/>
    <col min="8708" max="8709" width="13.42578125" style="82" customWidth="1"/>
    <col min="8710" max="8710" width="11.140625" style="82" customWidth="1"/>
    <col min="8711" max="8712" width="11.7109375" style="82" customWidth="1"/>
    <col min="8713" max="8713" width="13.85546875" style="82" customWidth="1"/>
    <col min="8714" max="8714" width="15.28515625" style="82" customWidth="1"/>
    <col min="8715" max="8717" width="11.7109375" style="82" customWidth="1"/>
    <col min="8718" max="8724" width="14.140625" style="82" customWidth="1"/>
    <col min="8725" max="8725" width="9.5703125" style="82" bestFit="1" customWidth="1"/>
    <col min="8726" max="8960" width="9.140625" style="82"/>
    <col min="8961" max="8961" width="6.28515625" style="82" customWidth="1"/>
    <col min="8962" max="8962" width="50.28515625" style="82" customWidth="1"/>
    <col min="8963" max="8963" width="13.28515625" style="82" customWidth="1"/>
    <col min="8964" max="8965" width="13.42578125" style="82" customWidth="1"/>
    <col min="8966" max="8966" width="11.140625" style="82" customWidth="1"/>
    <col min="8967" max="8968" width="11.7109375" style="82" customWidth="1"/>
    <col min="8969" max="8969" width="13.85546875" style="82" customWidth="1"/>
    <col min="8970" max="8970" width="15.28515625" style="82" customWidth="1"/>
    <col min="8971" max="8973" width="11.7109375" style="82" customWidth="1"/>
    <col min="8974" max="8980" width="14.140625" style="82" customWidth="1"/>
    <col min="8981" max="8981" width="9.5703125" style="82" bestFit="1" customWidth="1"/>
    <col min="8982" max="9216" width="9.140625" style="82"/>
    <col min="9217" max="9217" width="6.28515625" style="82" customWidth="1"/>
    <col min="9218" max="9218" width="50.28515625" style="82" customWidth="1"/>
    <col min="9219" max="9219" width="13.28515625" style="82" customWidth="1"/>
    <col min="9220" max="9221" width="13.42578125" style="82" customWidth="1"/>
    <col min="9222" max="9222" width="11.140625" style="82" customWidth="1"/>
    <col min="9223" max="9224" width="11.7109375" style="82" customWidth="1"/>
    <col min="9225" max="9225" width="13.85546875" style="82" customWidth="1"/>
    <col min="9226" max="9226" width="15.28515625" style="82" customWidth="1"/>
    <col min="9227" max="9229" width="11.7109375" style="82" customWidth="1"/>
    <col min="9230" max="9236" width="14.140625" style="82" customWidth="1"/>
    <col min="9237" max="9237" width="9.5703125" style="82" bestFit="1" customWidth="1"/>
    <col min="9238" max="9472" width="9.140625" style="82"/>
    <col min="9473" max="9473" width="6.28515625" style="82" customWidth="1"/>
    <col min="9474" max="9474" width="50.28515625" style="82" customWidth="1"/>
    <col min="9475" max="9475" width="13.28515625" style="82" customWidth="1"/>
    <col min="9476" max="9477" width="13.42578125" style="82" customWidth="1"/>
    <col min="9478" max="9478" width="11.140625" style="82" customWidth="1"/>
    <col min="9479" max="9480" width="11.7109375" style="82" customWidth="1"/>
    <col min="9481" max="9481" width="13.85546875" style="82" customWidth="1"/>
    <col min="9482" max="9482" width="15.28515625" style="82" customWidth="1"/>
    <col min="9483" max="9485" width="11.7109375" style="82" customWidth="1"/>
    <col min="9486" max="9492" width="14.140625" style="82" customWidth="1"/>
    <col min="9493" max="9493" width="9.5703125" style="82" bestFit="1" customWidth="1"/>
    <col min="9494" max="9728" width="9.140625" style="82"/>
    <col min="9729" max="9729" width="6.28515625" style="82" customWidth="1"/>
    <col min="9730" max="9730" width="50.28515625" style="82" customWidth="1"/>
    <col min="9731" max="9731" width="13.28515625" style="82" customWidth="1"/>
    <col min="9732" max="9733" width="13.42578125" style="82" customWidth="1"/>
    <col min="9734" max="9734" width="11.140625" style="82" customWidth="1"/>
    <col min="9735" max="9736" width="11.7109375" style="82" customWidth="1"/>
    <col min="9737" max="9737" width="13.85546875" style="82" customWidth="1"/>
    <col min="9738" max="9738" width="15.28515625" style="82" customWidth="1"/>
    <col min="9739" max="9741" width="11.7109375" style="82" customWidth="1"/>
    <col min="9742" max="9748" width="14.140625" style="82" customWidth="1"/>
    <col min="9749" max="9749" width="9.5703125" style="82" bestFit="1" customWidth="1"/>
    <col min="9750" max="9984" width="9.140625" style="82"/>
    <col min="9985" max="9985" width="6.28515625" style="82" customWidth="1"/>
    <col min="9986" max="9986" width="50.28515625" style="82" customWidth="1"/>
    <col min="9987" max="9987" width="13.28515625" style="82" customWidth="1"/>
    <col min="9988" max="9989" width="13.42578125" style="82" customWidth="1"/>
    <col min="9990" max="9990" width="11.140625" style="82" customWidth="1"/>
    <col min="9991" max="9992" width="11.7109375" style="82" customWidth="1"/>
    <col min="9993" max="9993" width="13.85546875" style="82" customWidth="1"/>
    <col min="9994" max="9994" width="15.28515625" style="82" customWidth="1"/>
    <col min="9995" max="9997" width="11.7109375" style="82" customWidth="1"/>
    <col min="9998" max="10004" width="14.140625" style="82" customWidth="1"/>
    <col min="10005" max="10005" width="9.5703125" style="82" bestFit="1" customWidth="1"/>
    <col min="10006" max="10240" width="9.140625" style="82"/>
    <col min="10241" max="10241" width="6.28515625" style="82" customWidth="1"/>
    <col min="10242" max="10242" width="50.28515625" style="82" customWidth="1"/>
    <col min="10243" max="10243" width="13.28515625" style="82" customWidth="1"/>
    <col min="10244" max="10245" width="13.42578125" style="82" customWidth="1"/>
    <col min="10246" max="10246" width="11.140625" style="82" customWidth="1"/>
    <col min="10247" max="10248" width="11.7109375" style="82" customWidth="1"/>
    <col min="10249" max="10249" width="13.85546875" style="82" customWidth="1"/>
    <col min="10250" max="10250" width="15.28515625" style="82" customWidth="1"/>
    <col min="10251" max="10253" width="11.7109375" style="82" customWidth="1"/>
    <col min="10254" max="10260" width="14.140625" style="82" customWidth="1"/>
    <col min="10261" max="10261" width="9.5703125" style="82" bestFit="1" customWidth="1"/>
    <col min="10262" max="10496" width="9.140625" style="82"/>
    <col min="10497" max="10497" width="6.28515625" style="82" customWidth="1"/>
    <col min="10498" max="10498" width="50.28515625" style="82" customWidth="1"/>
    <col min="10499" max="10499" width="13.28515625" style="82" customWidth="1"/>
    <col min="10500" max="10501" width="13.42578125" style="82" customWidth="1"/>
    <col min="10502" max="10502" width="11.140625" style="82" customWidth="1"/>
    <col min="10503" max="10504" width="11.7109375" style="82" customWidth="1"/>
    <col min="10505" max="10505" width="13.85546875" style="82" customWidth="1"/>
    <col min="10506" max="10506" width="15.28515625" style="82" customWidth="1"/>
    <col min="10507" max="10509" width="11.7109375" style="82" customWidth="1"/>
    <col min="10510" max="10516" width="14.140625" style="82" customWidth="1"/>
    <col min="10517" max="10517" width="9.5703125" style="82" bestFit="1" customWidth="1"/>
    <col min="10518" max="10752" width="9.140625" style="82"/>
    <col min="10753" max="10753" width="6.28515625" style="82" customWidth="1"/>
    <col min="10754" max="10754" width="50.28515625" style="82" customWidth="1"/>
    <col min="10755" max="10755" width="13.28515625" style="82" customWidth="1"/>
    <col min="10756" max="10757" width="13.42578125" style="82" customWidth="1"/>
    <col min="10758" max="10758" width="11.140625" style="82" customWidth="1"/>
    <col min="10759" max="10760" width="11.7109375" style="82" customWidth="1"/>
    <col min="10761" max="10761" width="13.85546875" style="82" customWidth="1"/>
    <col min="10762" max="10762" width="15.28515625" style="82" customWidth="1"/>
    <col min="10763" max="10765" width="11.7109375" style="82" customWidth="1"/>
    <col min="10766" max="10772" width="14.140625" style="82" customWidth="1"/>
    <col min="10773" max="10773" width="9.5703125" style="82" bestFit="1" customWidth="1"/>
    <col min="10774" max="11008" width="9.140625" style="82"/>
    <col min="11009" max="11009" width="6.28515625" style="82" customWidth="1"/>
    <col min="11010" max="11010" width="50.28515625" style="82" customWidth="1"/>
    <col min="11011" max="11011" width="13.28515625" style="82" customWidth="1"/>
    <col min="11012" max="11013" width="13.42578125" style="82" customWidth="1"/>
    <col min="11014" max="11014" width="11.140625" style="82" customWidth="1"/>
    <col min="11015" max="11016" width="11.7109375" style="82" customWidth="1"/>
    <col min="11017" max="11017" width="13.85546875" style="82" customWidth="1"/>
    <col min="11018" max="11018" width="15.28515625" style="82" customWidth="1"/>
    <col min="11019" max="11021" width="11.7109375" style="82" customWidth="1"/>
    <col min="11022" max="11028" width="14.140625" style="82" customWidth="1"/>
    <col min="11029" max="11029" width="9.5703125" style="82" bestFit="1" customWidth="1"/>
    <col min="11030" max="11264" width="9.140625" style="82"/>
    <col min="11265" max="11265" width="6.28515625" style="82" customWidth="1"/>
    <col min="11266" max="11266" width="50.28515625" style="82" customWidth="1"/>
    <col min="11267" max="11267" width="13.28515625" style="82" customWidth="1"/>
    <col min="11268" max="11269" width="13.42578125" style="82" customWidth="1"/>
    <col min="11270" max="11270" width="11.140625" style="82" customWidth="1"/>
    <col min="11271" max="11272" width="11.7109375" style="82" customWidth="1"/>
    <col min="11273" max="11273" width="13.85546875" style="82" customWidth="1"/>
    <col min="11274" max="11274" width="15.28515625" style="82" customWidth="1"/>
    <col min="11275" max="11277" width="11.7109375" style="82" customWidth="1"/>
    <col min="11278" max="11284" width="14.140625" style="82" customWidth="1"/>
    <col min="11285" max="11285" width="9.5703125" style="82" bestFit="1" customWidth="1"/>
    <col min="11286" max="11520" width="9.140625" style="82"/>
    <col min="11521" max="11521" width="6.28515625" style="82" customWidth="1"/>
    <col min="11522" max="11522" width="50.28515625" style="82" customWidth="1"/>
    <col min="11523" max="11523" width="13.28515625" style="82" customWidth="1"/>
    <col min="11524" max="11525" width="13.42578125" style="82" customWidth="1"/>
    <col min="11526" max="11526" width="11.140625" style="82" customWidth="1"/>
    <col min="11527" max="11528" width="11.7109375" style="82" customWidth="1"/>
    <col min="11529" max="11529" width="13.85546875" style="82" customWidth="1"/>
    <col min="11530" max="11530" width="15.28515625" style="82" customWidth="1"/>
    <col min="11531" max="11533" width="11.7109375" style="82" customWidth="1"/>
    <col min="11534" max="11540" width="14.140625" style="82" customWidth="1"/>
    <col min="11541" max="11541" width="9.5703125" style="82" bestFit="1" customWidth="1"/>
    <col min="11542" max="11776" width="9.140625" style="82"/>
    <col min="11777" max="11777" width="6.28515625" style="82" customWidth="1"/>
    <col min="11778" max="11778" width="50.28515625" style="82" customWidth="1"/>
    <col min="11779" max="11779" width="13.28515625" style="82" customWidth="1"/>
    <col min="11780" max="11781" width="13.42578125" style="82" customWidth="1"/>
    <col min="11782" max="11782" width="11.140625" style="82" customWidth="1"/>
    <col min="11783" max="11784" width="11.7109375" style="82" customWidth="1"/>
    <col min="11785" max="11785" width="13.85546875" style="82" customWidth="1"/>
    <col min="11786" max="11786" width="15.28515625" style="82" customWidth="1"/>
    <col min="11787" max="11789" width="11.7109375" style="82" customWidth="1"/>
    <col min="11790" max="11796" width="14.140625" style="82" customWidth="1"/>
    <col min="11797" max="11797" width="9.5703125" style="82" bestFit="1" customWidth="1"/>
    <col min="11798" max="12032" width="9.140625" style="82"/>
    <col min="12033" max="12033" width="6.28515625" style="82" customWidth="1"/>
    <col min="12034" max="12034" width="50.28515625" style="82" customWidth="1"/>
    <col min="12035" max="12035" width="13.28515625" style="82" customWidth="1"/>
    <col min="12036" max="12037" width="13.42578125" style="82" customWidth="1"/>
    <col min="12038" max="12038" width="11.140625" style="82" customWidth="1"/>
    <col min="12039" max="12040" width="11.7109375" style="82" customWidth="1"/>
    <col min="12041" max="12041" width="13.85546875" style="82" customWidth="1"/>
    <col min="12042" max="12042" width="15.28515625" style="82" customWidth="1"/>
    <col min="12043" max="12045" width="11.7109375" style="82" customWidth="1"/>
    <col min="12046" max="12052" width="14.140625" style="82" customWidth="1"/>
    <col min="12053" max="12053" width="9.5703125" style="82" bestFit="1" customWidth="1"/>
    <col min="12054" max="12288" width="9.140625" style="82"/>
    <col min="12289" max="12289" width="6.28515625" style="82" customWidth="1"/>
    <col min="12290" max="12290" width="50.28515625" style="82" customWidth="1"/>
    <col min="12291" max="12291" width="13.28515625" style="82" customWidth="1"/>
    <col min="12292" max="12293" width="13.42578125" style="82" customWidth="1"/>
    <col min="12294" max="12294" width="11.140625" style="82" customWidth="1"/>
    <col min="12295" max="12296" width="11.7109375" style="82" customWidth="1"/>
    <col min="12297" max="12297" width="13.85546875" style="82" customWidth="1"/>
    <col min="12298" max="12298" width="15.28515625" style="82" customWidth="1"/>
    <col min="12299" max="12301" width="11.7109375" style="82" customWidth="1"/>
    <col min="12302" max="12308" width="14.140625" style="82" customWidth="1"/>
    <col min="12309" max="12309" width="9.5703125" style="82" bestFit="1" customWidth="1"/>
    <col min="12310" max="12544" width="9.140625" style="82"/>
    <col min="12545" max="12545" width="6.28515625" style="82" customWidth="1"/>
    <col min="12546" max="12546" width="50.28515625" style="82" customWidth="1"/>
    <col min="12547" max="12547" width="13.28515625" style="82" customWidth="1"/>
    <col min="12548" max="12549" width="13.42578125" style="82" customWidth="1"/>
    <col min="12550" max="12550" width="11.140625" style="82" customWidth="1"/>
    <col min="12551" max="12552" width="11.7109375" style="82" customWidth="1"/>
    <col min="12553" max="12553" width="13.85546875" style="82" customWidth="1"/>
    <col min="12554" max="12554" width="15.28515625" style="82" customWidth="1"/>
    <col min="12555" max="12557" width="11.7109375" style="82" customWidth="1"/>
    <col min="12558" max="12564" width="14.140625" style="82" customWidth="1"/>
    <col min="12565" max="12565" width="9.5703125" style="82" bestFit="1" customWidth="1"/>
    <col min="12566" max="12800" width="9.140625" style="82"/>
    <col min="12801" max="12801" width="6.28515625" style="82" customWidth="1"/>
    <col min="12802" max="12802" width="50.28515625" style="82" customWidth="1"/>
    <col min="12803" max="12803" width="13.28515625" style="82" customWidth="1"/>
    <col min="12804" max="12805" width="13.42578125" style="82" customWidth="1"/>
    <col min="12806" max="12806" width="11.140625" style="82" customWidth="1"/>
    <col min="12807" max="12808" width="11.7109375" style="82" customWidth="1"/>
    <col min="12809" max="12809" width="13.85546875" style="82" customWidth="1"/>
    <col min="12810" max="12810" width="15.28515625" style="82" customWidth="1"/>
    <col min="12811" max="12813" width="11.7109375" style="82" customWidth="1"/>
    <col min="12814" max="12820" width="14.140625" style="82" customWidth="1"/>
    <col min="12821" max="12821" width="9.5703125" style="82" bestFit="1" customWidth="1"/>
    <col min="12822" max="13056" width="9.140625" style="82"/>
    <col min="13057" max="13057" width="6.28515625" style="82" customWidth="1"/>
    <col min="13058" max="13058" width="50.28515625" style="82" customWidth="1"/>
    <col min="13059" max="13059" width="13.28515625" style="82" customWidth="1"/>
    <col min="13060" max="13061" width="13.42578125" style="82" customWidth="1"/>
    <col min="13062" max="13062" width="11.140625" style="82" customWidth="1"/>
    <col min="13063" max="13064" width="11.7109375" style="82" customWidth="1"/>
    <col min="13065" max="13065" width="13.85546875" style="82" customWidth="1"/>
    <col min="13066" max="13066" width="15.28515625" style="82" customWidth="1"/>
    <col min="13067" max="13069" width="11.7109375" style="82" customWidth="1"/>
    <col min="13070" max="13076" width="14.140625" style="82" customWidth="1"/>
    <col min="13077" max="13077" width="9.5703125" style="82" bestFit="1" customWidth="1"/>
    <col min="13078" max="13312" width="9.140625" style="82"/>
    <col min="13313" max="13313" width="6.28515625" style="82" customWidth="1"/>
    <col min="13314" max="13314" width="50.28515625" style="82" customWidth="1"/>
    <col min="13315" max="13315" width="13.28515625" style="82" customWidth="1"/>
    <col min="13316" max="13317" width="13.42578125" style="82" customWidth="1"/>
    <col min="13318" max="13318" width="11.140625" style="82" customWidth="1"/>
    <col min="13319" max="13320" width="11.7109375" style="82" customWidth="1"/>
    <col min="13321" max="13321" width="13.85546875" style="82" customWidth="1"/>
    <col min="13322" max="13322" width="15.28515625" style="82" customWidth="1"/>
    <col min="13323" max="13325" width="11.7109375" style="82" customWidth="1"/>
    <col min="13326" max="13332" width="14.140625" style="82" customWidth="1"/>
    <col min="13333" max="13333" width="9.5703125" style="82" bestFit="1" customWidth="1"/>
    <col min="13334" max="13568" width="9.140625" style="82"/>
    <col min="13569" max="13569" width="6.28515625" style="82" customWidth="1"/>
    <col min="13570" max="13570" width="50.28515625" style="82" customWidth="1"/>
    <col min="13571" max="13571" width="13.28515625" style="82" customWidth="1"/>
    <col min="13572" max="13573" width="13.42578125" style="82" customWidth="1"/>
    <col min="13574" max="13574" width="11.140625" style="82" customWidth="1"/>
    <col min="13575" max="13576" width="11.7109375" style="82" customWidth="1"/>
    <col min="13577" max="13577" width="13.85546875" style="82" customWidth="1"/>
    <col min="13578" max="13578" width="15.28515625" style="82" customWidth="1"/>
    <col min="13579" max="13581" width="11.7109375" style="82" customWidth="1"/>
    <col min="13582" max="13588" width="14.140625" style="82" customWidth="1"/>
    <col min="13589" max="13589" width="9.5703125" style="82" bestFit="1" customWidth="1"/>
    <col min="13590" max="13824" width="9.140625" style="82"/>
    <col min="13825" max="13825" width="6.28515625" style="82" customWidth="1"/>
    <col min="13826" max="13826" width="50.28515625" style="82" customWidth="1"/>
    <col min="13827" max="13827" width="13.28515625" style="82" customWidth="1"/>
    <col min="13828" max="13829" width="13.42578125" style="82" customWidth="1"/>
    <col min="13830" max="13830" width="11.140625" style="82" customWidth="1"/>
    <col min="13831" max="13832" width="11.7109375" style="82" customWidth="1"/>
    <col min="13833" max="13833" width="13.85546875" style="82" customWidth="1"/>
    <col min="13834" max="13834" width="15.28515625" style="82" customWidth="1"/>
    <col min="13835" max="13837" width="11.7109375" style="82" customWidth="1"/>
    <col min="13838" max="13844" width="14.140625" style="82" customWidth="1"/>
    <col min="13845" max="13845" width="9.5703125" style="82" bestFit="1" customWidth="1"/>
    <col min="13846" max="14080" width="9.140625" style="82"/>
    <col min="14081" max="14081" width="6.28515625" style="82" customWidth="1"/>
    <col min="14082" max="14082" width="50.28515625" style="82" customWidth="1"/>
    <col min="14083" max="14083" width="13.28515625" style="82" customWidth="1"/>
    <col min="14084" max="14085" width="13.42578125" style="82" customWidth="1"/>
    <col min="14086" max="14086" width="11.140625" style="82" customWidth="1"/>
    <col min="14087" max="14088" width="11.7109375" style="82" customWidth="1"/>
    <col min="14089" max="14089" width="13.85546875" style="82" customWidth="1"/>
    <col min="14090" max="14090" width="15.28515625" style="82" customWidth="1"/>
    <col min="14091" max="14093" width="11.7109375" style="82" customWidth="1"/>
    <col min="14094" max="14100" width="14.140625" style="82" customWidth="1"/>
    <col min="14101" max="14101" width="9.5703125" style="82" bestFit="1" customWidth="1"/>
    <col min="14102" max="14336" width="9.140625" style="82"/>
    <col min="14337" max="14337" width="6.28515625" style="82" customWidth="1"/>
    <col min="14338" max="14338" width="50.28515625" style="82" customWidth="1"/>
    <col min="14339" max="14339" width="13.28515625" style="82" customWidth="1"/>
    <col min="14340" max="14341" width="13.42578125" style="82" customWidth="1"/>
    <col min="14342" max="14342" width="11.140625" style="82" customWidth="1"/>
    <col min="14343" max="14344" width="11.7109375" style="82" customWidth="1"/>
    <col min="14345" max="14345" width="13.85546875" style="82" customWidth="1"/>
    <col min="14346" max="14346" width="15.28515625" style="82" customWidth="1"/>
    <col min="14347" max="14349" width="11.7109375" style="82" customWidth="1"/>
    <col min="14350" max="14356" width="14.140625" style="82" customWidth="1"/>
    <col min="14357" max="14357" width="9.5703125" style="82" bestFit="1" customWidth="1"/>
    <col min="14358" max="14592" width="9.140625" style="82"/>
    <col min="14593" max="14593" width="6.28515625" style="82" customWidth="1"/>
    <col min="14594" max="14594" width="50.28515625" style="82" customWidth="1"/>
    <col min="14595" max="14595" width="13.28515625" style="82" customWidth="1"/>
    <col min="14596" max="14597" width="13.42578125" style="82" customWidth="1"/>
    <col min="14598" max="14598" width="11.140625" style="82" customWidth="1"/>
    <col min="14599" max="14600" width="11.7109375" style="82" customWidth="1"/>
    <col min="14601" max="14601" width="13.85546875" style="82" customWidth="1"/>
    <col min="14602" max="14602" width="15.28515625" style="82" customWidth="1"/>
    <col min="14603" max="14605" width="11.7109375" style="82" customWidth="1"/>
    <col min="14606" max="14612" width="14.140625" style="82" customWidth="1"/>
    <col min="14613" max="14613" width="9.5703125" style="82" bestFit="1" customWidth="1"/>
    <col min="14614" max="14848" width="9.140625" style="82"/>
    <col min="14849" max="14849" width="6.28515625" style="82" customWidth="1"/>
    <col min="14850" max="14850" width="50.28515625" style="82" customWidth="1"/>
    <col min="14851" max="14851" width="13.28515625" style="82" customWidth="1"/>
    <col min="14852" max="14853" width="13.42578125" style="82" customWidth="1"/>
    <col min="14854" max="14854" width="11.140625" style="82" customWidth="1"/>
    <col min="14855" max="14856" width="11.7109375" style="82" customWidth="1"/>
    <col min="14857" max="14857" width="13.85546875" style="82" customWidth="1"/>
    <col min="14858" max="14858" width="15.28515625" style="82" customWidth="1"/>
    <col min="14859" max="14861" width="11.7109375" style="82" customWidth="1"/>
    <col min="14862" max="14868" width="14.140625" style="82" customWidth="1"/>
    <col min="14869" max="14869" width="9.5703125" style="82" bestFit="1" customWidth="1"/>
    <col min="14870" max="15104" width="9.140625" style="82"/>
    <col min="15105" max="15105" width="6.28515625" style="82" customWidth="1"/>
    <col min="15106" max="15106" width="50.28515625" style="82" customWidth="1"/>
    <col min="15107" max="15107" width="13.28515625" style="82" customWidth="1"/>
    <col min="15108" max="15109" width="13.42578125" style="82" customWidth="1"/>
    <col min="15110" max="15110" width="11.140625" style="82" customWidth="1"/>
    <col min="15111" max="15112" width="11.7109375" style="82" customWidth="1"/>
    <col min="15113" max="15113" width="13.85546875" style="82" customWidth="1"/>
    <col min="15114" max="15114" width="15.28515625" style="82" customWidth="1"/>
    <col min="15115" max="15117" width="11.7109375" style="82" customWidth="1"/>
    <col min="15118" max="15124" width="14.140625" style="82" customWidth="1"/>
    <col min="15125" max="15125" width="9.5703125" style="82" bestFit="1" customWidth="1"/>
    <col min="15126" max="15360" width="9.140625" style="82"/>
    <col min="15361" max="15361" width="6.28515625" style="82" customWidth="1"/>
    <col min="15362" max="15362" width="50.28515625" style="82" customWidth="1"/>
    <col min="15363" max="15363" width="13.28515625" style="82" customWidth="1"/>
    <col min="15364" max="15365" width="13.42578125" style="82" customWidth="1"/>
    <col min="15366" max="15366" width="11.140625" style="82" customWidth="1"/>
    <col min="15367" max="15368" width="11.7109375" style="82" customWidth="1"/>
    <col min="15369" max="15369" width="13.85546875" style="82" customWidth="1"/>
    <col min="15370" max="15370" width="15.28515625" style="82" customWidth="1"/>
    <col min="15371" max="15373" width="11.7109375" style="82" customWidth="1"/>
    <col min="15374" max="15380" width="14.140625" style="82" customWidth="1"/>
    <col min="15381" max="15381" width="9.5703125" style="82" bestFit="1" customWidth="1"/>
    <col min="15382" max="15616" width="9.140625" style="82"/>
    <col min="15617" max="15617" width="6.28515625" style="82" customWidth="1"/>
    <col min="15618" max="15618" width="50.28515625" style="82" customWidth="1"/>
    <col min="15619" max="15619" width="13.28515625" style="82" customWidth="1"/>
    <col min="15620" max="15621" width="13.42578125" style="82" customWidth="1"/>
    <col min="15622" max="15622" width="11.140625" style="82" customWidth="1"/>
    <col min="15623" max="15624" width="11.7109375" style="82" customWidth="1"/>
    <col min="15625" max="15625" width="13.85546875" style="82" customWidth="1"/>
    <col min="15626" max="15626" width="15.28515625" style="82" customWidth="1"/>
    <col min="15627" max="15629" width="11.7109375" style="82" customWidth="1"/>
    <col min="15630" max="15636" width="14.140625" style="82" customWidth="1"/>
    <col min="15637" max="15637" width="9.5703125" style="82" bestFit="1" customWidth="1"/>
    <col min="15638" max="15872" width="9.140625" style="82"/>
    <col min="15873" max="15873" width="6.28515625" style="82" customWidth="1"/>
    <col min="15874" max="15874" width="50.28515625" style="82" customWidth="1"/>
    <col min="15875" max="15875" width="13.28515625" style="82" customWidth="1"/>
    <col min="15876" max="15877" width="13.42578125" style="82" customWidth="1"/>
    <col min="15878" max="15878" width="11.140625" style="82" customWidth="1"/>
    <col min="15879" max="15880" width="11.7109375" style="82" customWidth="1"/>
    <col min="15881" max="15881" width="13.85546875" style="82" customWidth="1"/>
    <col min="15882" max="15882" width="15.28515625" style="82" customWidth="1"/>
    <col min="15883" max="15885" width="11.7109375" style="82" customWidth="1"/>
    <col min="15886" max="15892" width="14.140625" style="82" customWidth="1"/>
    <col min="15893" max="15893" width="9.5703125" style="82" bestFit="1" customWidth="1"/>
    <col min="15894" max="16128" width="9.140625" style="82"/>
    <col min="16129" max="16129" width="6.28515625" style="82" customWidth="1"/>
    <col min="16130" max="16130" width="50.28515625" style="82" customWidth="1"/>
    <col min="16131" max="16131" width="13.28515625" style="82" customWidth="1"/>
    <col min="16132" max="16133" width="13.42578125" style="82" customWidth="1"/>
    <col min="16134" max="16134" width="11.140625" style="82" customWidth="1"/>
    <col min="16135" max="16136" width="11.7109375" style="82" customWidth="1"/>
    <col min="16137" max="16137" width="13.85546875" style="82" customWidth="1"/>
    <col min="16138" max="16138" width="15.28515625" style="82" customWidth="1"/>
    <col min="16139" max="16141" width="11.7109375" style="82" customWidth="1"/>
    <col min="16142" max="16148" width="14.140625" style="82" customWidth="1"/>
    <col min="16149" max="16149" width="9.5703125" style="82" bestFit="1" customWidth="1"/>
    <col min="16150" max="16384" width="9.140625" style="82"/>
  </cols>
  <sheetData>
    <row r="1" spans="1:20" s="34" customFormat="1" x14ac:dyDescent="0.25">
      <c r="A1" s="30"/>
      <c r="B1" s="31"/>
      <c r="C1" s="32" t="s">
        <v>247</v>
      </c>
      <c r="D1" s="33">
        <v>2024</v>
      </c>
      <c r="E1" s="33">
        <f>D1+1</f>
        <v>2025</v>
      </c>
      <c r="F1" s="33">
        <f t="shared" ref="F1:R1" si="0">E1+1</f>
        <v>2026</v>
      </c>
      <c r="G1" s="33">
        <f t="shared" si="0"/>
        <v>2027</v>
      </c>
      <c r="H1" s="33">
        <f t="shared" si="0"/>
        <v>2028</v>
      </c>
      <c r="I1" s="33">
        <f t="shared" si="0"/>
        <v>2029</v>
      </c>
      <c r="J1" s="33">
        <f t="shared" si="0"/>
        <v>2030</v>
      </c>
      <c r="K1" s="33">
        <f t="shared" si="0"/>
        <v>2031</v>
      </c>
      <c r="L1" s="33">
        <f t="shared" si="0"/>
        <v>2032</v>
      </c>
      <c r="M1" s="33">
        <f>L1+1</f>
        <v>2033</v>
      </c>
      <c r="N1" s="33">
        <f t="shared" si="0"/>
        <v>2034</v>
      </c>
      <c r="O1" s="33">
        <f t="shared" si="0"/>
        <v>2035</v>
      </c>
      <c r="P1" s="33">
        <f t="shared" si="0"/>
        <v>2036</v>
      </c>
      <c r="Q1" s="33">
        <f t="shared" si="0"/>
        <v>2037</v>
      </c>
      <c r="R1" s="33">
        <f t="shared" si="0"/>
        <v>2038</v>
      </c>
    </row>
    <row r="2" spans="1:20" s="34" customFormat="1" ht="15.75" thickBot="1" x14ac:dyDescent="0.3">
      <c r="A2" s="30"/>
      <c r="B2" s="35" t="e">
        <f>#REF!</f>
        <v>#REF!</v>
      </c>
      <c r="C2" s="36">
        <f>SUM(D2:J2)</f>
        <v>3109.2460000000001</v>
      </c>
      <c r="D2" s="36"/>
      <c r="E2" s="37"/>
      <c r="F2" s="38"/>
      <c r="G2" s="38"/>
      <c r="H2" s="38"/>
      <c r="I2" s="38">
        <f>'№2 ИП ТС'!AB66</f>
        <v>3109.2460000000001</v>
      </c>
      <c r="J2" s="38"/>
      <c r="K2" s="38"/>
      <c r="N2" s="39"/>
      <c r="O2" s="34" t="s">
        <v>248</v>
      </c>
    </row>
    <row r="3" spans="1:20" s="34" customFormat="1" ht="15.75" thickBot="1" x14ac:dyDescent="0.3">
      <c r="A3" s="30"/>
      <c r="B3" s="40" t="s">
        <v>264</v>
      </c>
      <c r="C3" s="36">
        <f t="shared" ref="C3:C7" si="1">SUM(D3:J3)</f>
        <v>7761.7564700000003</v>
      </c>
      <c r="D3" s="41"/>
      <c r="E3" s="37"/>
      <c r="F3" s="42"/>
      <c r="G3" s="42">
        <f>'№2 ИП ТС'!Z66</f>
        <v>7761.7564700000003</v>
      </c>
      <c r="H3" s="42"/>
      <c r="I3" s="42"/>
      <c r="J3" s="42"/>
      <c r="K3" s="42"/>
      <c r="N3" s="39"/>
    </row>
    <row r="4" spans="1:20" s="34" customFormat="1" ht="26.25" thickBot="1" x14ac:dyDescent="0.3">
      <c r="A4" s="30"/>
      <c r="B4" s="43" t="s">
        <v>249</v>
      </c>
      <c r="C4" s="36">
        <f t="shared" si="1"/>
        <v>0</v>
      </c>
      <c r="D4" s="41"/>
      <c r="E4" s="37"/>
      <c r="F4" s="38"/>
      <c r="G4" s="38"/>
      <c r="H4" s="38"/>
      <c r="I4" s="38"/>
      <c r="J4" s="38"/>
      <c r="K4" s="38"/>
      <c r="N4" s="39"/>
    </row>
    <row r="5" spans="1:20" s="34" customFormat="1" ht="26.25" thickBot="1" x14ac:dyDescent="0.3">
      <c r="A5" s="30"/>
      <c r="B5" s="43" t="s">
        <v>250</v>
      </c>
      <c r="C5" s="36">
        <f t="shared" si="1"/>
        <v>0</v>
      </c>
      <c r="D5" s="41"/>
      <c r="E5" s="37"/>
      <c r="F5" s="42"/>
      <c r="G5" s="42"/>
      <c r="H5" s="42"/>
      <c r="I5" s="42"/>
      <c r="J5" s="42"/>
      <c r="K5" s="42"/>
      <c r="N5" s="39"/>
    </row>
    <row r="6" spans="1:20" s="34" customFormat="1" ht="15.75" thickBot="1" x14ac:dyDescent="0.3">
      <c r="A6" s="30"/>
      <c r="B6" s="43" t="s">
        <v>251</v>
      </c>
      <c r="C6" s="36">
        <f t="shared" si="1"/>
        <v>0</v>
      </c>
      <c r="D6" s="44"/>
      <c r="E6" s="37"/>
      <c r="F6" s="38"/>
      <c r="G6" s="38"/>
      <c r="H6" s="38"/>
      <c r="I6" s="38"/>
      <c r="J6" s="38"/>
      <c r="K6" s="38"/>
      <c r="N6" s="39"/>
    </row>
    <row r="7" spans="1:20" s="34" customFormat="1" x14ac:dyDescent="0.25">
      <c r="A7" s="30"/>
      <c r="B7" s="35"/>
      <c r="C7" s="36">
        <f t="shared" si="1"/>
        <v>0</v>
      </c>
      <c r="D7" s="45"/>
      <c r="E7" s="37"/>
      <c r="F7" s="38"/>
      <c r="G7" s="38"/>
      <c r="H7" s="38"/>
      <c r="I7" s="38"/>
      <c r="J7" s="38"/>
      <c r="K7" s="38"/>
      <c r="N7" s="39"/>
    </row>
    <row r="8" spans="1:20" s="34" customFormat="1" x14ac:dyDescent="0.25">
      <c r="A8" s="30"/>
      <c r="B8" s="31" t="s">
        <v>234</v>
      </c>
      <c r="C8" s="46">
        <f t="shared" ref="C8:J8" si="2">SUM(C2:C7)</f>
        <v>10871.002469999999</v>
      </c>
      <c r="D8" s="47">
        <f t="shared" si="2"/>
        <v>0</v>
      </c>
      <c r="E8" s="48">
        <f t="shared" si="2"/>
        <v>0</v>
      </c>
      <c r="F8" s="49">
        <f t="shared" si="2"/>
        <v>0</v>
      </c>
      <c r="G8" s="49">
        <f t="shared" si="2"/>
        <v>7761.7564700000003</v>
      </c>
      <c r="H8" s="49">
        <f t="shared" si="2"/>
        <v>0</v>
      </c>
      <c r="I8" s="49">
        <f t="shared" si="2"/>
        <v>3109.2460000000001</v>
      </c>
      <c r="J8" s="49">
        <f t="shared" si="2"/>
        <v>0</v>
      </c>
      <c r="L8" s="50"/>
      <c r="N8" s="39"/>
    </row>
    <row r="9" spans="1:20" s="34" customFormat="1" x14ac:dyDescent="0.25">
      <c r="A9" s="30"/>
      <c r="C9" s="51"/>
      <c r="E9" s="50"/>
      <c r="G9" s="50"/>
      <c r="N9" s="39"/>
    </row>
    <row r="10" spans="1:20" s="34" customFormat="1" x14ac:dyDescent="0.25">
      <c r="A10" s="30"/>
      <c r="C10" s="51"/>
      <c r="N10" s="39"/>
    </row>
    <row r="11" spans="1:20" s="34" customFormat="1" x14ac:dyDescent="0.25">
      <c r="A11" s="30"/>
      <c r="C11" s="51"/>
      <c r="G11" s="50"/>
      <c r="N11" s="39"/>
    </row>
    <row r="12" spans="1:20" s="34" customFormat="1" x14ac:dyDescent="0.25">
      <c r="A12" s="30"/>
      <c r="C12" s="51"/>
      <c r="N12" s="39"/>
    </row>
    <row r="13" spans="1:20" s="34" customFormat="1" ht="15.75" thickBot="1" x14ac:dyDescent="0.3">
      <c r="D13" s="33">
        <v>2024</v>
      </c>
      <c r="E13" s="33">
        <f>D13+1</f>
        <v>2025</v>
      </c>
      <c r="F13" s="33">
        <f t="shared" ref="F13:T13" si="3">E13+1</f>
        <v>2026</v>
      </c>
      <c r="G13" s="33">
        <f t="shared" si="3"/>
        <v>2027</v>
      </c>
      <c r="H13" s="33">
        <f t="shared" si="3"/>
        <v>2028</v>
      </c>
      <c r="I13" s="33">
        <f t="shared" si="3"/>
        <v>2029</v>
      </c>
      <c r="J13" s="33">
        <f t="shared" si="3"/>
        <v>2030</v>
      </c>
      <c r="K13" s="33">
        <f t="shared" si="3"/>
        <v>2031</v>
      </c>
      <c r="L13" s="33">
        <f t="shared" si="3"/>
        <v>2032</v>
      </c>
      <c r="M13" s="33">
        <f t="shared" si="3"/>
        <v>2033</v>
      </c>
      <c r="N13" s="33">
        <f t="shared" si="3"/>
        <v>2034</v>
      </c>
      <c r="O13" s="33">
        <f t="shared" si="3"/>
        <v>2035</v>
      </c>
      <c r="P13" s="33">
        <f t="shared" si="3"/>
        <v>2036</v>
      </c>
      <c r="Q13" s="33">
        <f t="shared" si="3"/>
        <v>2037</v>
      </c>
      <c r="R13" s="33">
        <f t="shared" si="3"/>
        <v>2038</v>
      </c>
      <c r="S13" s="33">
        <f t="shared" si="3"/>
        <v>2039</v>
      </c>
      <c r="T13" s="33">
        <f t="shared" si="3"/>
        <v>2040</v>
      </c>
    </row>
    <row r="14" spans="1:20" s="34" customFormat="1" x14ac:dyDescent="0.2">
      <c r="A14" s="52" t="s">
        <v>252</v>
      </c>
      <c r="B14" s="53"/>
      <c r="C14" s="53"/>
      <c r="D14" s="53">
        <f>100/8</f>
        <v>12.5</v>
      </c>
      <c r="E14" s="53">
        <f t="shared" ref="E14:N14" si="4">100/8</f>
        <v>12.5</v>
      </c>
      <c r="F14" s="53">
        <f t="shared" si="4"/>
        <v>12.5</v>
      </c>
      <c r="G14" s="53">
        <f t="shared" si="4"/>
        <v>12.5</v>
      </c>
      <c r="H14" s="53">
        <f t="shared" si="4"/>
        <v>12.5</v>
      </c>
      <c r="I14" s="53">
        <f t="shared" si="4"/>
        <v>12.5</v>
      </c>
      <c r="J14" s="53">
        <f t="shared" si="4"/>
        <v>12.5</v>
      </c>
      <c r="K14" s="53">
        <f t="shared" si="4"/>
        <v>12.5</v>
      </c>
      <c r="L14" s="53">
        <f t="shared" si="4"/>
        <v>12.5</v>
      </c>
      <c r="M14" s="53">
        <f t="shared" si="4"/>
        <v>12.5</v>
      </c>
      <c r="N14" s="53">
        <f t="shared" si="4"/>
        <v>12.5</v>
      </c>
      <c r="O14" s="53">
        <v>12.5</v>
      </c>
      <c r="P14" s="53">
        <v>12.5</v>
      </c>
      <c r="Q14" s="53">
        <v>12.5</v>
      </c>
      <c r="R14" s="53">
        <v>12.5</v>
      </c>
      <c r="S14" s="53">
        <v>12.5</v>
      </c>
      <c r="T14" s="53">
        <v>12.5</v>
      </c>
    </row>
    <row r="15" spans="1:20" s="34" customFormat="1" x14ac:dyDescent="0.2">
      <c r="A15" s="54" t="s">
        <v>253</v>
      </c>
      <c r="B15" s="55"/>
      <c r="C15" s="56"/>
      <c r="D15" s="57"/>
      <c r="E15" s="58">
        <f t="shared" ref="E15:T18" si="5">D23</f>
        <v>0</v>
      </c>
      <c r="F15" s="58">
        <f t="shared" si="5"/>
        <v>0</v>
      </c>
      <c r="G15" s="58">
        <f t="shared" si="5"/>
        <v>0</v>
      </c>
      <c r="H15" s="58">
        <f t="shared" si="5"/>
        <v>0</v>
      </c>
      <c r="I15" s="55">
        <f t="shared" si="5"/>
        <v>0</v>
      </c>
      <c r="J15" s="55">
        <f t="shared" si="5"/>
        <v>0</v>
      </c>
      <c r="K15" s="55">
        <f t="shared" si="5"/>
        <v>0</v>
      </c>
      <c r="L15" s="59">
        <f t="shared" si="5"/>
        <v>0</v>
      </c>
      <c r="M15" s="59">
        <f t="shared" si="5"/>
        <v>0</v>
      </c>
      <c r="N15" s="59">
        <f t="shared" si="5"/>
        <v>0</v>
      </c>
      <c r="O15" s="59">
        <f t="shared" si="5"/>
        <v>0</v>
      </c>
      <c r="P15" s="59">
        <f t="shared" si="5"/>
        <v>0</v>
      </c>
      <c r="Q15" s="59">
        <f t="shared" si="5"/>
        <v>0</v>
      </c>
      <c r="R15" s="59">
        <f t="shared" si="5"/>
        <v>0</v>
      </c>
      <c r="S15" s="59">
        <f t="shared" si="5"/>
        <v>0</v>
      </c>
      <c r="T15" s="59">
        <f t="shared" si="5"/>
        <v>0</v>
      </c>
    </row>
    <row r="16" spans="1:20" s="34" customFormat="1" x14ac:dyDescent="0.2">
      <c r="A16" s="60" t="s">
        <v>254</v>
      </c>
      <c r="B16" s="61"/>
      <c r="C16" s="62"/>
      <c r="D16" s="63">
        <f t="shared" ref="D16:N16" si="6">SUM(D17:D18)</f>
        <v>0</v>
      </c>
      <c r="E16" s="63">
        <f t="shared" si="6"/>
        <v>0</v>
      </c>
      <c r="F16" s="63">
        <f t="shared" si="6"/>
        <v>0</v>
      </c>
      <c r="G16" s="63">
        <f t="shared" si="6"/>
        <v>7761.7564700000003</v>
      </c>
      <c r="H16" s="63">
        <f t="shared" si="6"/>
        <v>7503.0312543333339</v>
      </c>
      <c r="I16" s="63">
        <f t="shared" si="6"/>
        <v>9836.101607333334</v>
      </c>
      <c r="J16" s="63">
        <f t="shared" si="6"/>
        <v>8956.2844270000005</v>
      </c>
      <c r="K16" s="63">
        <f t="shared" si="6"/>
        <v>7869.1841800000002</v>
      </c>
      <c r="L16" s="63">
        <f t="shared" si="6"/>
        <v>6782.0839330000008</v>
      </c>
      <c r="M16" s="63">
        <f t="shared" si="6"/>
        <v>5694.9836860000014</v>
      </c>
      <c r="N16" s="63">
        <f t="shared" si="6"/>
        <v>4607.8834390000011</v>
      </c>
      <c r="O16" s="63">
        <f t="shared" si="5"/>
        <v>3520.7831920000008</v>
      </c>
      <c r="P16" s="63">
        <f t="shared" si="5"/>
        <v>2433.6829450000005</v>
      </c>
      <c r="Q16" s="63">
        <f t="shared" si="5"/>
        <v>1346.5826980000004</v>
      </c>
      <c r="R16" s="63">
        <f t="shared" si="5"/>
        <v>518.20766666666714</v>
      </c>
      <c r="S16" s="63">
        <f t="shared" si="5"/>
        <v>207.28306666666714</v>
      </c>
      <c r="T16" s="63">
        <f t="shared" si="5"/>
        <v>4.8316906031686813E-13</v>
      </c>
    </row>
    <row r="17" spans="1:21" s="34" customFormat="1" x14ac:dyDescent="0.2">
      <c r="A17" s="64">
        <v>1</v>
      </c>
      <c r="B17" s="55"/>
      <c r="C17" s="65"/>
      <c r="D17" s="66">
        <f>D8</f>
        <v>0</v>
      </c>
      <c r="E17" s="66">
        <f>D25</f>
        <v>0</v>
      </c>
      <c r="F17" s="66">
        <f>E25</f>
        <v>0</v>
      </c>
      <c r="G17" s="66">
        <f>F25</f>
        <v>0</v>
      </c>
      <c r="H17" s="66">
        <f>G25</f>
        <v>0</v>
      </c>
      <c r="I17" s="66">
        <f>I8</f>
        <v>3109.2460000000001</v>
      </c>
      <c r="J17" s="66">
        <f t="shared" ref="J17:O18" si="7">I25</f>
        <v>3005.6044666666667</v>
      </c>
      <c r="K17" s="66">
        <f t="shared" si="7"/>
        <v>2694.6798666666668</v>
      </c>
      <c r="L17" s="66">
        <f t="shared" si="7"/>
        <v>2383.755266666667</v>
      </c>
      <c r="M17" s="66">
        <f t="shared" si="7"/>
        <v>2072.8306666666672</v>
      </c>
      <c r="N17" s="66">
        <f t="shared" si="7"/>
        <v>1761.9060666666671</v>
      </c>
      <c r="O17" s="66">
        <f t="shared" si="7"/>
        <v>1450.9814666666671</v>
      </c>
      <c r="P17" s="66">
        <f t="shared" si="5"/>
        <v>1140.056866666667</v>
      </c>
      <c r="Q17" s="66">
        <f t="shared" si="5"/>
        <v>829.13226666666696</v>
      </c>
      <c r="R17" s="66">
        <f t="shared" si="5"/>
        <v>518.20766666666691</v>
      </c>
      <c r="S17" s="66">
        <f t="shared" si="5"/>
        <v>207.28306666666691</v>
      </c>
      <c r="T17" s="66">
        <f t="shared" si="5"/>
        <v>2.5579538487363607E-13</v>
      </c>
    </row>
    <row r="18" spans="1:21" s="34" customFormat="1" x14ac:dyDescent="0.2">
      <c r="A18" s="64">
        <v>2</v>
      </c>
      <c r="B18" s="55"/>
      <c r="C18" s="65"/>
      <c r="D18" s="66"/>
      <c r="E18" s="66">
        <f>E8</f>
        <v>0</v>
      </c>
      <c r="F18" s="66">
        <f>E26</f>
        <v>0</v>
      </c>
      <c r="G18" s="66">
        <f>G8</f>
        <v>7761.7564700000003</v>
      </c>
      <c r="H18" s="66">
        <f>G26</f>
        <v>7503.0312543333339</v>
      </c>
      <c r="I18" s="66">
        <f>H26</f>
        <v>6726.8556073333339</v>
      </c>
      <c r="J18" s="66">
        <f t="shared" si="7"/>
        <v>5950.6799603333338</v>
      </c>
      <c r="K18" s="66">
        <f t="shared" si="7"/>
        <v>5174.5043133333338</v>
      </c>
      <c r="L18" s="66">
        <f t="shared" si="7"/>
        <v>4398.3286663333338</v>
      </c>
      <c r="M18" s="66">
        <f t="shared" si="7"/>
        <v>3622.1530193333338</v>
      </c>
      <c r="N18" s="66">
        <f t="shared" si="7"/>
        <v>2845.9773723333337</v>
      </c>
      <c r="O18" s="66">
        <f t="shared" si="7"/>
        <v>2069.8017253333337</v>
      </c>
      <c r="P18" s="66">
        <f t="shared" si="5"/>
        <v>1293.6260783333337</v>
      </c>
      <c r="Q18" s="66">
        <f t="shared" si="5"/>
        <v>517.45043133333365</v>
      </c>
      <c r="R18" s="66">
        <f t="shared" si="5"/>
        <v>0</v>
      </c>
      <c r="S18" s="66">
        <f t="shared" si="5"/>
        <v>0</v>
      </c>
      <c r="T18" s="58">
        <f t="shared" si="5"/>
        <v>0</v>
      </c>
    </row>
    <row r="19" spans="1:21" s="34" customFormat="1" x14ac:dyDescent="0.2">
      <c r="A19" s="54" t="s">
        <v>255</v>
      </c>
      <c r="B19" s="55"/>
      <c r="C19" s="67"/>
      <c r="D19" s="58">
        <f>D15*12.5/100</f>
        <v>0</v>
      </c>
      <c r="E19" s="58">
        <f t="shared" ref="E19:O19" si="8">D19</f>
        <v>0</v>
      </c>
      <c r="F19" s="58">
        <f t="shared" si="8"/>
        <v>0</v>
      </c>
      <c r="G19" s="58">
        <f t="shared" si="8"/>
        <v>0</v>
      </c>
      <c r="H19" s="58">
        <f t="shared" si="8"/>
        <v>0</v>
      </c>
      <c r="I19" s="58">
        <f t="shared" si="8"/>
        <v>0</v>
      </c>
      <c r="J19" s="58">
        <f t="shared" si="8"/>
        <v>0</v>
      </c>
      <c r="K19" s="58">
        <f t="shared" si="8"/>
        <v>0</v>
      </c>
      <c r="L19" s="68">
        <f t="shared" si="8"/>
        <v>0</v>
      </c>
      <c r="M19" s="68">
        <f t="shared" si="8"/>
        <v>0</v>
      </c>
      <c r="N19" s="68">
        <f t="shared" si="8"/>
        <v>0</v>
      </c>
      <c r="O19" s="68">
        <f t="shared" si="8"/>
        <v>0</v>
      </c>
      <c r="P19" s="68">
        <f>O19</f>
        <v>0</v>
      </c>
      <c r="Q19" s="68">
        <f>P19</f>
        <v>0</v>
      </c>
      <c r="R19" s="68">
        <f>Q19</f>
        <v>0</v>
      </c>
      <c r="S19" s="68">
        <f>R19</f>
        <v>0</v>
      </c>
      <c r="T19" s="68">
        <f>S19</f>
        <v>0</v>
      </c>
    </row>
    <row r="20" spans="1:21" s="34" customFormat="1" x14ac:dyDescent="0.2">
      <c r="A20" s="60" t="s">
        <v>256</v>
      </c>
      <c r="B20" s="61"/>
      <c r="C20" s="69"/>
      <c r="D20" s="70">
        <f t="shared" ref="D20:T20" si="9">SUM(D21:D22)</f>
        <v>0</v>
      </c>
      <c r="E20" s="70">
        <f t="shared" si="9"/>
        <v>0</v>
      </c>
      <c r="F20" s="70">
        <f t="shared" si="9"/>
        <v>0</v>
      </c>
      <c r="G20" s="70">
        <f t="shared" si="9"/>
        <v>258.72521566666666</v>
      </c>
      <c r="H20" s="70">
        <f t="shared" si="9"/>
        <v>776.17564700000003</v>
      </c>
      <c r="I20" s="70">
        <f t="shared" si="9"/>
        <v>879.81718033333334</v>
      </c>
      <c r="J20" s="70">
        <f t="shared" si="9"/>
        <v>1087.1002470000001</v>
      </c>
      <c r="K20" s="70">
        <f t="shared" si="9"/>
        <v>1087.1002470000001</v>
      </c>
      <c r="L20" s="70">
        <f t="shared" si="9"/>
        <v>1087.1002470000001</v>
      </c>
      <c r="M20" s="70">
        <f t="shared" si="9"/>
        <v>1087.1002470000001</v>
      </c>
      <c r="N20" s="70">
        <f t="shared" si="9"/>
        <v>1087.1002470000001</v>
      </c>
      <c r="O20" s="70">
        <f t="shared" si="9"/>
        <v>1087.1002470000001</v>
      </c>
      <c r="P20" s="70">
        <f t="shared" si="9"/>
        <v>1087.1002470000001</v>
      </c>
      <c r="Q20" s="70">
        <f t="shared" si="9"/>
        <v>828.37503133333325</v>
      </c>
      <c r="R20" s="70">
        <f t="shared" si="9"/>
        <v>310.9246</v>
      </c>
      <c r="S20" s="70">
        <f t="shared" si="9"/>
        <v>207.28306666666666</v>
      </c>
      <c r="T20" s="70">
        <f t="shared" si="9"/>
        <v>0</v>
      </c>
      <c r="U20" s="71">
        <f>SUM(D20:T20)</f>
        <v>10871.002470000001</v>
      </c>
    </row>
    <row r="21" spans="1:21" s="34" customFormat="1" x14ac:dyDescent="0.2">
      <c r="A21" s="64">
        <v>1</v>
      </c>
      <c r="B21" s="55"/>
      <c r="C21" s="67"/>
      <c r="D21" s="58">
        <f>D8/8/12*3</f>
        <v>0</v>
      </c>
      <c r="E21" s="58">
        <f>D8/8</f>
        <v>0</v>
      </c>
      <c r="F21" s="58">
        <f t="shared" ref="F21:N22" si="10">E21</f>
        <v>0</v>
      </c>
      <c r="G21" s="58">
        <f t="shared" si="10"/>
        <v>0</v>
      </c>
      <c r="H21" s="58">
        <f t="shared" si="10"/>
        <v>0</v>
      </c>
      <c r="I21" s="58">
        <f>I17/10/12*4</f>
        <v>103.64153333333333</v>
      </c>
      <c r="J21" s="58">
        <f>I21*3</f>
        <v>310.9246</v>
      </c>
      <c r="K21" s="58">
        <f t="shared" si="10"/>
        <v>310.9246</v>
      </c>
      <c r="L21" s="58">
        <f t="shared" ref="L21" si="11">K21</f>
        <v>310.9246</v>
      </c>
      <c r="M21" s="58">
        <f t="shared" ref="M21" si="12">L21</f>
        <v>310.9246</v>
      </c>
      <c r="N21" s="58">
        <f t="shared" ref="N21" si="13">M21</f>
        <v>310.9246</v>
      </c>
      <c r="O21" s="58">
        <f t="shared" ref="O21" si="14">N21</f>
        <v>310.9246</v>
      </c>
      <c r="P21" s="58">
        <f t="shared" ref="P21" si="15">O21</f>
        <v>310.9246</v>
      </c>
      <c r="Q21" s="58">
        <f t="shared" ref="Q21:R21" si="16">P21</f>
        <v>310.9246</v>
      </c>
      <c r="R21" s="58">
        <f t="shared" si="16"/>
        <v>310.9246</v>
      </c>
      <c r="S21" s="58">
        <f>R21/12*8</f>
        <v>207.28306666666666</v>
      </c>
      <c r="T21" s="58">
        <v>0</v>
      </c>
    </row>
    <row r="22" spans="1:21" s="34" customFormat="1" x14ac:dyDescent="0.2">
      <c r="A22" s="64">
        <v>2</v>
      </c>
      <c r="B22" s="55"/>
      <c r="C22" s="67"/>
      <c r="D22" s="58">
        <f>D18*D14/100/12*3</f>
        <v>0</v>
      </c>
      <c r="E22" s="58">
        <f>E8/10</f>
        <v>0</v>
      </c>
      <c r="F22" s="58">
        <f>E8/10</f>
        <v>0</v>
      </c>
      <c r="G22" s="58">
        <f>G18/10/12*4</f>
        <v>258.72521566666666</v>
      </c>
      <c r="H22" s="58">
        <f>G22*3</f>
        <v>776.17564700000003</v>
      </c>
      <c r="I22" s="58">
        <f t="shared" si="10"/>
        <v>776.17564700000003</v>
      </c>
      <c r="J22" s="58">
        <f t="shared" si="10"/>
        <v>776.17564700000003</v>
      </c>
      <c r="K22" s="58">
        <f t="shared" si="10"/>
        <v>776.17564700000003</v>
      </c>
      <c r="L22" s="58">
        <f t="shared" si="10"/>
        <v>776.17564700000003</v>
      </c>
      <c r="M22" s="58">
        <f t="shared" si="10"/>
        <v>776.17564700000003</v>
      </c>
      <c r="N22" s="58">
        <f t="shared" si="10"/>
        <v>776.17564700000003</v>
      </c>
      <c r="O22" s="58">
        <f t="shared" ref="O22" si="17">N22</f>
        <v>776.17564700000003</v>
      </c>
      <c r="P22" s="58">
        <f t="shared" ref="P22" si="18">O22</f>
        <v>776.17564700000003</v>
      </c>
      <c r="Q22" s="58">
        <f>P22/12*8</f>
        <v>517.45043133333331</v>
      </c>
      <c r="R22" s="58">
        <v>0</v>
      </c>
      <c r="S22" s="58">
        <v>0</v>
      </c>
      <c r="T22" s="58">
        <v>0</v>
      </c>
    </row>
    <row r="23" spans="1:21" s="34" customFormat="1" x14ac:dyDescent="0.2">
      <c r="A23" s="54" t="s">
        <v>257</v>
      </c>
      <c r="B23" s="55"/>
      <c r="C23" s="67"/>
      <c r="D23" s="58">
        <f t="shared" ref="D23:T23" si="19">D15-D19</f>
        <v>0</v>
      </c>
      <c r="E23" s="58">
        <f t="shared" si="19"/>
        <v>0</v>
      </c>
      <c r="F23" s="58">
        <f t="shared" si="19"/>
        <v>0</v>
      </c>
      <c r="G23" s="58">
        <f t="shared" si="19"/>
        <v>0</v>
      </c>
      <c r="H23" s="58">
        <f t="shared" si="19"/>
        <v>0</v>
      </c>
      <c r="I23" s="58">
        <f t="shared" si="19"/>
        <v>0</v>
      </c>
      <c r="J23" s="58">
        <f t="shared" si="19"/>
        <v>0</v>
      </c>
      <c r="K23" s="58">
        <f t="shared" si="19"/>
        <v>0</v>
      </c>
      <c r="L23" s="68">
        <f t="shared" si="19"/>
        <v>0</v>
      </c>
      <c r="M23" s="68">
        <f t="shared" si="19"/>
        <v>0</v>
      </c>
      <c r="N23" s="68">
        <f t="shared" si="19"/>
        <v>0</v>
      </c>
      <c r="O23" s="68">
        <f t="shared" si="19"/>
        <v>0</v>
      </c>
      <c r="P23" s="68">
        <f t="shared" si="19"/>
        <v>0</v>
      </c>
      <c r="Q23" s="68">
        <f t="shared" si="19"/>
        <v>0</v>
      </c>
      <c r="R23" s="68">
        <f t="shared" si="19"/>
        <v>0</v>
      </c>
      <c r="S23" s="68">
        <f t="shared" si="19"/>
        <v>0</v>
      </c>
      <c r="T23" s="68">
        <f t="shared" si="19"/>
        <v>0</v>
      </c>
    </row>
    <row r="24" spans="1:21" s="34" customFormat="1" x14ac:dyDescent="0.2">
      <c r="A24" s="60" t="s">
        <v>258</v>
      </c>
      <c r="B24" s="61"/>
      <c r="C24" s="69"/>
      <c r="D24" s="72">
        <f>D16-D20</f>
        <v>0</v>
      </c>
      <c r="E24" s="72">
        <f>E16-E20+E22</f>
        <v>0</v>
      </c>
      <c r="F24" s="72">
        <f t="shared" ref="F24:T24" si="20">F16-F20</f>
        <v>0</v>
      </c>
      <c r="G24" s="72">
        <f t="shared" si="20"/>
        <v>7503.0312543333339</v>
      </c>
      <c r="H24" s="72">
        <f t="shared" si="20"/>
        <v>6726.8556073333339</v>
      </c>
      <c r="I24" s="72">
        <f t="shared" si="20"/>
        <v>8956.2844270000005</v>
      </c>
      <c r="J24" s="72">
        <f t="shared" si="20"/>
        <v>7869.1841800000002</v>
      </c>
      <c r="K24" s="72">
        <f t="shared" si="20"/>
        <v>6782.0839329999999</v>
      </c>
      <c r="L24" s="73">
        <f t="shared" si="20"/>
        <v>5694.9836860000005</v>
      </c>
      <c r="M24" s="73">
        <f t="shared" si="20"/>
        <v>4607.8834390000011</v>
      </c>
      <c r="N24" s="73">
        <f t="shared" si="20"/>
        <v>3520.7831920000008</v>
      </c>
      <c r="O24" s="73">
        <f t="shared" si="20"/>
        <v>2433.6829450000005</v>
      </c>
      <c r="P24" s="73">
        <f t="shared" si="20"/>
        <v>1346.5826980000004</v>
      </c>
      <c r="Q24" s="73">
        <f t="shared" si="20"/>
        <v>518.20766666666714</v>
      </c>
      <c r="R24" s="73">
        <f t="shared" si="20"/>
        <v>207.28306666666714</v>
      </c>
      <c r="S24" s="73">
        <f t="shared" si="20"/>
        <v>4.8316906031686813E-13</v>
      </c>
      <c r="T24" s="73">
        <f t="shared" si="20"/>
        <v>4.8316906031686813E-13</v>
      </c>
    </row>
    <row r="25" spans="1:21" s="34" customFormat="1" x14ac:dyDescent="0.2">
      <c r="A25" s="64">
        <v>1</v>
      </c>
      <c r="B25" s="55"/>
      <c r="C25" s="67"/>
      <c r="D25" s="58">
        <f>D17-D21</f>
        <v>0</v>
      </c>
      <c r="E25" s="58">
        <f>E17-E21</f>
        <v>0</v>
      </c>
      <c r="F25" s="58">
        <f t="shared" ref="F25:T25" si="21">F17-F21</f>
        <v>0</v>
      </c>
      <c r="G25" s="58">
        <f t="shared" si="21"/>
        <v>0</v>
      </c>
      <c r="H25" s="58">
        <f t="shared" si="21"/>
        <v>0</v>
      </c>
      <c r="I25" s="58">
        <f t="shared" si="21"/>
        <v>3005.6044666666667</v>
      </c>
      <c r="J25" s="58">
        <f t="shared" si="21"/>
        <v>2694.6798666666668</v>
      </c>
      <c r="K25" s="58">
        <f t="shared" si="21"/>
        <v>2383.755266666667</v>
      </c>
      <c r="L25" s="58">
        <f t="shared" si="21"/>
        <v>2072.8306666666672</v>
      </c>
      <c r="M25" s="58">
        <f t="shared" si="21"/>
        <v>1761.9060666666671</v>
      </c>
      <c r="N25" s="58">
        <f t="shared" si="21"/>
        <v>1450.9814666666671</v>
      </c>
      <c r="O25" s="58">
        <f t="shared" si="21"/>
        <v>1140.056866666667</v>
      </c>
      <c r="P25" s="58">
        <f t="shared" si="21"/>
        <v>829.13226666666696</v>
      </c>
      <c r="Q25" s="58">
        <f t="shared" si="21"/>
        <v>518.20766666666691</v>
      </c>
      <c r="R25" s="58">
        <f t="shared" si="21"/>
        <v>207.28306666666691</v>
      </c>
      <c r="S25" s="58">
        <f t="shared" si="21"/>
        <v>2.5579538487363607E-13</v>
      </c>
      <c r="T25" s="58">
        <f t="shared" si="21"/>
        <v>2.5579538487363607E-13</v>
      </c>
    </row>
    <row r="26" spans="1:21" s="34" customFormat="1" x14ac:dyDescent="0.2">
      <c r="A26" s="64">
        <v>2</v>
      </c>
      <c r="B26" s="55"/>
      <c r="C26" s="67"/>
      <c r="D26" s="58">
        <f>D18-D22</f>
        <v>0</v>
      </c>
      <c r="E26" s="58">
        <f>E18-E22</f>
        <v>0</v>
      </c>
      <c r="F26" s="58">
        <f t="shared" ref="F26:T26" si="22">F18-F22</f>
        <v>0</v>
      </c>
      <c r="G26" s="58">
        <f t="shared" si="22"/>
        <v>7503.0312543333339</v>
      </c>
      <c r="H26" s="58">
        <f t="shared" si="22"/>
        <v>6726.8556073333339</v>
      </c>
      <c r="I26" s="58">
        <f t="shared" si="22"/>
        <v>5950.6799603333338</v>
      </c>
      <c r="J26" s="58">
        <f t="shared" si="22"/>
        <v>5174.5043133333338</v>
      </c>
      <c r="K26" s="58">
        <f t="shared" si="22"/>
        <v>4398.3286663333338</v>
      </c>
      <c r="L26" s="58">
        <f t="shared" si="22"/>
        <v>3622.1530193333338</v>
      </c>
      <c r="M26" s="58">
        <f t="shared" si="22"/>
        <v>2845.9773723333337</v>
      </c>
      <c r="N26" s="58">
        <f t="shared" si="22"/>
        <v>2069.8017253333337</v>
      </c>
      <c r="O26" s="58">
        <f t="shared" si="22"/>
        <v>1293.6260783333337</v>
      </c>
      <c r="P26" s="58">
        <f t="shared" si="22"/>
        <v>517.45043133333365</v>
      </c>
      <c r="Q26" s="58">
        <f t="shared" si="22"/>
        <v>0</v>
      </c>
      <c r="R26" s="58">
        <f t="shared" si="22"/>
        <v>0</v>
      </c>
      <c r="S26" s="58">
        <f t="shared" si="22"/>
        <v>0</v>
      </c>
      <c r="T26" s="58">
        <f t="shared" si="22"/>
        <v>0</v>
      </c>
    </row>
    <row r="27" spans="1:21" s="34" customFormat="1" x14ac:dyDescent="0.2">
      <c r="A27" s="74"/>
      <c r="B27" s="74"/>
      <c r="C27" s="74"/>
      <c r="D27" s="74"/>
      <c r="E27" s="74"/>
      <c r="F27" s="74"/>
      <c r="G27" s="75"/>
      <c r="H27" s="74"/>
      <c r="I27" s="74"/>
      <c r="J27" s="74"/>
      <c r="K27" s="74"/>
      <c r="L27" s="74"/>
      <c r="M27" s="74"/>
      <c r="N27" s="74"/>
      <c r="O27" s="74"/>
    </row>
    <row r="28" spans="1:21" s="34" customFormat="1" x14ac:dyDescent="0.25">
      <c r="J28" s="76"/>
    </row>
    <row r="29" spans="1:21" s="34" customFormat="1" x14ac:dyDescent="0.25">
      <c r="J29" s="76"/>
    </row>
    <row r="30" spans="1:21" s="34" customFormat="1" x14ac:dyDescent="0.25">
      <c r="J30" s="76"/>
    </row>
    <row r="31" spans="1:21" s="34" customFormat="1" ht="15.75" thickBot="1" x14ac:dyDescent="0.3">
      <c r="J31" s="76"/>
    </row>
    <row r="32" spans="1:21" s="34" customFormat="1" ht="15.75" thickBot="1" x14ac:dyDescent="0.25">
      <c r="B32" s="34" t="s">
        <v>259</v>
      </c>
      <c r="C32" s="77" t="s">
        <v>260</v>
      </c>
      <c r="D32" s="78">
        <v>2024</v>
      </c>
      <c r="E32" s="78">
        <f>D32+1</f>
        <v>2025</v>
      </c>
      <c r="F32" s="78">
        <f t="shared" ref="F32:T32" si="23">E32+1</f>
        <v>2026</v>
      </c>
      <c r="G32" s="78">
        <f t="shared" si="23"/>
        <v>2027</v>
      </c>
      <c r="H32" s="78">
        <f t="shared" si="23"/>
        <v>2028</v>
      </c>
      <c r="I32" s="78">
        <f t="shared" si="23"/>
        <v>2029</v>
      </c>
      <c r="J32" s="78">
        <f t="shared" si="23"/>
        <v>2030</v>
      </c>
      <c r="K32" s="78">
        <f t="shared" si="23"/>
        <v>2031</v>
      </c>
      <c r="L32" s="78">
        <f t="shared" si="23"/>
        <v>2032</v>
      </c>
      <c r="M32" s="78">
        <f t="shared" si="23"/>
        <v>2033</v>
      </c>
      <c r="N32" s="78">
        <f t="shared" si="23"/>
        <v>2034</v>
      </c>
      <c r="O32" s="78">
        <f t="shared" si="23"/>
        <v>2035</v>
      </c>
      <c r="P32" s="78">
        <f t="shared" si="23"/>
        <v>2036</v>
      </c>
      <c r="Q32" s="78">
        <f t="shared" si="23"/>
        <v>2037</v>
      </c>
      <c r="R32" s="78">
        <f t="shared" si="23"/>
        <v>2038</v>
      </c>
      <c r="S32" s="78">
        <f t="shared" si="23"/>
        <v>2039</v>
      </c>
      <c r="T32" s="78">
        <f t="shared" si="23"/>
        <v>2040</v>
      </c>
    </row>
    <row r="33" spans="1:21" s="34" customFormat="1" ht="15.75" thickBot="1" x14ac:dyDescent="0.25">
      <c r="C33" s="79" t="s">
        <v>261</v>
      </c>
      <c r="D33" s="80">
        <f>D16</f>
        <v>0</v>
      </c>
      <c r="E33" s="80">
        <f>E16</f>
        <v>0</v>
      </c>
      <c r="F33" s="80">
        <f t="shared" ref="F33:T33" si="24">F16</f>
        <v>0</v>
      </c>
      <c r="G33" s="80">
        <f t="shared" si="24"/>
        <v>7761.7564700000003</v>
      </c>
      <c r="H33" s="80">
        <f t="shared" si="24"/>
        <v>7503.0312543333339</v>
      </c>
      <c r="I33" s="80">
        <f t="shared" si="24"/>
        <v>9836.101607333334</v>
      </c>
      <c r="J33" s="80">
        <f t="shared" si="24"/>
        <v>8956.2844270000005</v>
      </c>
      <c r="K33" s="80">
        <f t="shared" si="24"/>
        <v>7869.1841800000002</v>
      </c>
      <c r="L33" s="80">
        <f t="shared" si="24"/>
        <v>6782.0839330000008</v>
      </c>
      <c r="M33" s="80">
        <f t="shared" si="24"/>
        <v>5694.9836860000014</v>
      </c>
      <c r="N33" s="80">
        <f t="shared" si="24"/>
        <v>4607.8834390000011</v>
      </c>
      <c r="O33" s="80">
        <f t="shared" si="24"/>
        <v>3520.7831920000008</v>
      </c>
      <c r="P33" s="80">
        <f t="shared" si="24"/>
        <v>2433.6829450000005</v>
      </c>
      <c r="Q33" s="80">
        <f t="shared" si="24"/>
        <v>1346.5826980000004</v>
      </c>
      <c r="R33" s="80">
        <f t="shared" si="24"/>
        <v>518.20766666666714</v>
      </c>
      <c r="S33" s="80">
        <f t="shared" si="24"/>
        <v>207.28306666666714</v>
      </c>
      <c r="T33" s="80">
        <f t="shared" si="24"/>
        <v>4.8316906031686813E-13</v>
      </c>
    </row>
    <row r="34" spans="1:21" s="34" customFormat="1" ht="15.75" thickBot="1" x14ac:dyDescent="0.25">
      <c r="C34" s="79" t="s">
        <v>262</v>
      </c>
      <c r="D34" s="80">
        <f>D20</f>
        <v>0</v>
      </c>
      <c r="E34" s="80">
        <f>E20</f>
        <v>0</v>
      </c>
      <c r="F34" s="80">
        <f t="shared" ref="F34:T34" si="25">F20</f>
        <v>0</v>
      </c>
      <c r="G34" s="80">
        <f t="shared" si="25"/>
        <v>258.72521566666666</v>
      </c>
      <c r="H34" s="80">
        <f t="shared" si="25"/>
        <v>776.17564700000003</v>
      </c>
      <c r="I34" s="80">
        <f t="shared" si="25"/>
        <v>879.81718033333334</v>
      </c>
      <c r="J34" s="80">
        <f t="shared" si="25"/>
        <v>1087.1002470000001</v>
      </c>
      <c r="K34" s="80">
        <f t="shared" si="25"/>
        <v>1087.1002470000001</v>
      </c>
      <c r="L34" s="80">
        <f t="shared" si="25"/>
        <v>1087.1002470000001</v>
      </c>
      <c r="M34" s="80">
        <f t="shared" si="25"/>
        <v>1087.1002470000001</v>
      </c>
      <c r="N34" s="80">
        <f t="shared" si="25"/>
        <v>1087.1002470000001</v>
      </c>
      <c r="O34" s="80">
        <f t="shared" si="25"/>
        <v>1087.1002470000001</v>
      </c>
      <c r="P34" s="80">
        <f t="shared" si="25"/>
        <v>1087.1002470000001</v>
      </c>
      <c r="Q34" s="80">
        <f t="shared" si="25"/>
        <v>828.37503133333325</v>
      </c>
      <c r="R34" s="80">
        <f t="shared" si="25"/>
        <v>310.9246</v>
      </c>
      <c r="S34" s="80">
        <f t="shared" si="25"/>
        <v>207.28306666666666</v>
      </c>
      <c r="T34" s="80">
        <f t="shared" si="25"/>
        <v>0</v>
      </c>
      <c r="U34" s="50">
        <f>SUM(D34:T34)</f>
        <v>10871.002470000001</v>
      </c>
    </row>
    <row r="35" spans="1:21" s="34" customFormat="1" ht="15.75" thickBot="1" x14ac:dyDescent="0.25">
      <c r="C35" s="79" t="s">
        <v>263</v>
      </c>
      <c r="D35" s="80">
        <f>D24</f>
        <v>0</v>
      </c>
      <c r="E35" s="80">
        <f>E33-E34</f>
        <v>0</v>
      </c>
      <c r="F35" s="80">
        <f t="shared" ref="F35:T35" si="26">F24</f>
        <v>0</v>
      </c>
      <c r="G35" s="80">
        <f t="shared" si="26"/>
        <v>7503.0312543333339</v>
      </c>
      <c r="H35" s="80">
        <f t="shared" si="26"/>
        <v>6726.8556073333339</v>
      </c>
      <c r="I35" s="80">
        <f t="shared" si="26"/>
        <v>8956.2844270000005</v>
      </c>
      <c r="J35" s="80">
        <f t="shared" si="26"/>
        <v>7869.1841800000002</v>
      </c>
      <c r="K35" s="80">
        <f t="shared" si="26"/>
        <v>6782.0839329999999</v>
      </c>
      <c r="L35" s="80">
        <f t="shared" si="26"/>
        <v>5694.9836860000005</v>
      </c>
      <c r="M35" s="80">
        <f t="shared" si="26"/>
        <v>4607.8834390000011</v>
      </c>
      <c r="N35" s="80">
        <f t="shared" si="26"/>
        <v>3520.7831920000008</v>
      </c>
      <c r="O35" s="80">
        <f t="shared" si="26"/>
        <v>2433.6829450000005</v>
      </c>
      <c r="P35" s="80">
        <f t="shared" si="26"/>
        <v>1346.5826980000004</v>
      </c>
      <c r="Q35" s="80">
        <f t="shared" si="26"/>
        <v>518.20766666666714</v>
      </c>
      <c r="R35" s="80">
        <f t="shared" si="26"/>
        <v>207.28306666666714</v>
      </c>
      <c r="S35" s="80">
        <f t="shared" si="26"/>
        <v>4.8316906031686813E-13</v>
      </c>
      <c r="T35" s="80">
        <f t="shared" si="26"/>
        <v>4.8316906031686813E-13</v>
      </c>
    </row>
    <row r="36" spans="1:21" s="34" customFormat="1" x14ac:dyDescent="0.25">
      <c r="D36" s="50">
        <f>D33-D34</f>
        <v>0</v>
      </c>
      <c r="E36" s="50">
        <f>E33-E34</f>
        <v>0</v>
      </c>
      <c r="F36" s="50">
        <f t="shared" ref="F36:T36" si="27">F33-F34</f>
        <v>0</v>
      </c>
      <c r="G36" s="50">
        <f t="shared" si="27"/>
        <v>7503.0312543333339</v>
      </c>
      <c r="H36" s="50">
        <f t="shared" si="27"/>
        <v>6726.8556073333339</v>
      </c>
      <c r="I36" s="50">
        <f t="shared" si="27"/>
        <v>8956.2844270000005</v>
      </c>
      <c r="J36" s="81">
        <f t="shared" si="27"/>
        <v>7869.1841800000002</v>
      </c>
      <c r="K36" s="50">
        <f t="shared" si="27"/>
        <v>6782.0839329999999</v>
      </c>
      <c r="L36" s="50">
        <f t="shared" si="27"/>
        <v>5694.9836860000005</v>
      </c>
      <c r="M36" s="50">
        <f t="shared" si="27"/>
        <v>4607.8834390000011</v>
      </c>
      <c r="N36" s="50">
        <f t="shared" si="27"/>
        <v>3520.7831920000008</v>
      </c>
      <c r="O36" s="50">
        <f t="shared" si="27"/>
        <v>2433.6829450000005</v>
      </c>
      <c r="P36" s="50">
        <f t="shared" si="27"/>
        <v>1346.5826980000004</v>
      </c>
      <c r="Q36" s="50">
        <f t="shared" si="27"/>
        <v>518.20766666666714</v>
      </c>
      <c r="R36" s="50">
        <f t="shared" si="27"/>
        <v>207.28306666666714</v>
      </c>
      <c r="S36" s="50">
        <f t="shared" si="27"/>
        <v>4.8316906031686813E-13</v>
      </c>
      <c r="T36" s="50">
        <f t="shared" si="27"/>
        <v>4.8316906031686813E-13</v>
      </c>
      <c r="U36" s="50">
        <f>SUM(U34:U35)</f>
        <v>10871.002470000001</v>
      </c>
    </row>
    <row r="37" spans="1:21" s="34" customFormat="1" x14ac:dyDescent="0.25">
      <c r="J37" s="76"/>
    </row>
    <row r="38" spans="1:21" s="34" customFormat="1" x14ac:dyDescent="0.25">
      <c r="A38" s="30"/>
      <c r="C38" s="51"/>
      <c r="J38" s="76"/>
      <c r="N38" s="39"/>
    </row>
    <row r="39" spans="1:21" s="34" customFormat="1" x14ac:dyDescent="0.25">
      <c r="A39" s="30"/>
      <c r="C39" s="51"/>
      <c r="J39" s="76"/>
      <c r="N39" s="39"/>
    </row>
    <row r="40" spans="1:21" s="34" customFormat="1" x14ac:dyDescent="0.25">
      <c r="A40" s="30"/>
      <c r="C40" s="51"/>
      <c r="J40" s="76"/>
      <c r="N40" s="39"/>
    </row>
    <row r="41" spans="1:21" s="34" customFormat="1" x14ac:dyDescent="0.25">
      <c r="A41" s="30"/>
      <c r="C41" s="51"/>
      <c r="J41" s="76"/>
      <c r="N41" s="39"/>
    </row>
    <row r="42" spans="1:21" s="34" customFormat="1" x14ac:dyDescent="0.25">
      <c r="A42" s="30"/>
      <c r="C42" s="51"/>
      <c r="J42" s="76"/>
      <c r="N42" s="39"/>
    </row>
    <row r="43" spans="1:21" s="34" customFormat="1" x14ac:dyDescent="0.25">
      <c r="A43" s="30"/>
      <c r="C43" s="51"/>
      <c r="N43" s="39"/>
    </row>
    <row r="44" spans="1:21" s="34" customFormat="1" x14ac:dyDescent="0.25">
      <c r="A44" s="30"/>
      <c r="C44" s="51"/>
      <c r="N44" s="39"/>
    </row>
    <row r="45" spans="1:21" s="34" customFormat="1" x14ac:dyDescent="0.25">
      <c r="A45" s="30"/>
      <c r="C45" s="51"/>
      <c r="N45" s="39"/>
    </row>
    <row r="46" spans="1:21" s="34" customFormat="1" x14ac:dyDescent="0.25">
      <c r="A46" s="30"/>
      <c r="C46" s="51"/>
      <c r="N46" s="39"/>
    </row>
    <row r="47" spans="1:21" s="34" customFormat="1" x14ac:dyDescent="0.25">
      <c r="A47" s="30"/>
      <c r="C47" s="51"/>
      <c r="N47" s="39"/>
    </row>
    <row r="48" spans="1:21" s="34" customFormat="1" x14ac:dyDescent="0.25">
      <c r="A48" s="30"/>
      <c r="C48" s="51"/>
      <c r="N48" s="39"/>
    </row>
    <row r="49" spans="1:14" s="34" customFormat="1" x14ac:dyDescent="0.25">
      <c r="A49" s="30"/>
      <c r="C49" s="51"/>
      <c r="N49" s="39"/>
    </row>
    <row r="50" spans="1:14" s="34" customFormat="1" x14ac:dyDescent="0.25">
      <c r="A50" s="30"/>
      <c r="C50" s="51"/>
      <c r="N50" s="39"/>
    </row>
    <row r="51" spans="1:14" s="34" customFormat="1" x14ac:dyDescent="0.25">
      <c r="A51" s="30"/>
      <c r="C51" s="51"/>
      <c r="N51" s="39"/>
    </row>
    <row r="52" spans="1:14" s="34" customFormat="1" x14ac:dyDescent="0.25">
      <c r="A52" s="30"/>
      <c r="C52" s="51"/>
      <c r="N52" s="39"/>
    </row>
    <row r="53" spans="1:14" s="34" customFormat="1" x14ac:dyDescent="0.25">
      <c r="A53" s="30"/>
      <c r="C53" s="51"/>
      <c r="N53" s="39"/>
    </row>
    <row r="54" spans="1:14" s="34" customFormat="1" x14ac:dyDescent="0.25">
      <c r="A54" s="30"/>
      <c r="C54" s="51"/>
      <c r="N54" s="39"/>
    </row>
    <row r="55" spans="1:14" s="34" customFormat="1" x14ac:dyDescent="0.25">
      <c r="A55" s="30"/>
      <c r="C55" s="51"/>
      <c r="N55" s="39"/>
    </row>
    <row r="56" spans="1:14" s="34" customFormat="1" x14ac:dyDescent="0.25">
      <c r="A56" s="30"/>
      <c r="C56" s="51"/>
      <c r="N56" s="39"/>
    </row>
    <row r="57" spans="1:14" s="34" customFormat="1" x14ac:dyDescent="0.25">
      <c r="A57" s="30"/>
      <c r="C57" s="51"/>
      <c r="N57" s="39"/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X282"/>
  <sheetViews>
    <sheetView workbookViewId="0">
      <selection activeCell="L136" sqref="L136:N136"/>
    </sheetView>
  </sheetViews>
  <sheetFormatPr defaultRowHeight="15" x14ac:dyDescent="0.25"/>
  <cols>
    <col min="2" max="2" width="11" customWidth="1"/>
    <col min="3" max="3" width="10.85546875" customWidth="1"/>
    <col min="4" max="4" width="11.85546875" bestFit="1" customWidth="1"/>
    <col min="5" max="5" width="12" customWidth="1"/>
    <col min="6" max="6" width="12.28515625" customWidth="1"/>
    <col min="7" max="7" width="11.5703125" customWidth="1"/>
    <col min="8" max="8" width="12.5703125" customWidth="1"/>
    <col min="9" max="9" width="11" customWidth="1"/>
    <col min="10" max="10" width="10.85546875" bestFit="1" customWidth="1"/>
    <col min="11" max="11" width="11.85546875" bestFit="1" customWidth="1"/>
    <col min="12" max="12" width="10.85546875" bestFit="1" customWidth="1"/>
    <col min="13" max="13" width="12.28515625" customWidth="1"/>
    <col min="14" max="14" width="12.5703125" customWidth="1"/>
    <col min="15" max="15" width="10.85546875" bestFit="1" customWidth="1"/>
    <col min="18" max="18" width="11" customWidth="1"/>
    <col min="19" max="19" width="10.85546875" customWidth="1"/>
    <col min="20" max="20" width="11.85546875" bestFit="1" customWidth="1"/>
    <col min="21" max="21" width="12" customWidth="1"/>
    <col min="22" max="22" width="12.28515625" customWidth="1"/>
    <col min="23" max="23" width="11.5703125" customWidth="1"/>
    <col min="24" max="24" width="10.85546875" bestFit="1" customWidth="1"/>
    <col min="230" max="230" width="11" customWidth="1"/>
    <col min="231" max="231" width="10.85546875" customWidth="1"/>
    <col min="232" max="232" width="11.85546875" bestFit="1" customWidth="1"/>
    <col min="233" max="233" width="12" customWidth="1"/>
    <col min="234" max="234" width="12.28515625" customWidth="1"/>
    <col min="235" max="235" width="11.5703125" customWidth="1"/>
    <col min="236" max="236" width="12.5703125" customWidth="1"/>
    <col min="237" max="238" width="10.85546875" bestFit="1" customWidth="1"/>
    <col min="239" max="239" width="11.85546875" bestFit="1" customWidth="1"/>
    <col min="240" max="240" width="10.85546875" bestFit="1" customWidth="1"/>
    <col min="241" max="241" width="12.28515625" customWidth="1"/>
    <col min="242" max="242" width="11.5703125" customWidth="1"/>
    <col min="243" max="243" width="10.85546875" bestFit="1" customWidth="1"/>
    <col min="246" max="246" width="11.85546875" bestFit="1" customWidth="1"/>
    <col min="247" max="248" width="12.28515625" customWidth="1"/>
    <col min="249" max="249" width="11.5703125" customWidth="1"/>
    <col min="250" max="250" width="10.85546875" bestFit="1" customWidth="1"/>
    <col min="253" max="253" width="11.85546875" bestFit="1" customWidth="1"/>
    <col min="254" max="255" width="12.28515625" customWidth="1"/>
    <col min="256" max="256" width="11.5703125" customWidth="1"/>
    <col min="257" max="257" width="10.85546875" bestFit="1" customWidth="1"/>
    <col min="260" max="260" width="11.85546875" bestFit="1" customWidth="1"/>
    <col min="261" max="262" width="12.28515625" customWidth="1"/>
    <col min="263" max="263" width="11.5703125" customWidth="1"/>
    <col min="264" max="264" width="10.85546875" bestFit="1" customWidth="1"/>
    <col min="267" max="267" width="11.85546875" bestFit="1" customWidth="1"/>
    <col min="268" max="269" width="12.28515625" customWidth="1"/>
    <col min="270" max="270" width="11.5703125" customWidth="1"/>
    <col min="271" max="271" width="10.85546875" bestFit="1" customWidth="1"/>
    <col min="486" max="486" width="11" customWidth="1"/>
    <col min="487" max="487" width="10.85546875" customWidth="1"/>
    <col min="488" max="488" width="11.85546875" bestFit="1" customWidth="1"/>
    <col min="489" max="489" width="12" customWidth="1"/>
    <col min="490" max="490" width="12.28515625" customWidth="1"/>
    <col min="491" max="491" width="11.5703125" customWidth="1"/>
    <col min="492" max="492" width="12.5703125" customWidth="1"/>
    <col min="493" max="494" width="10.85546875" bestFit="1" customWidth="1"/>
    <col min="495" max="495" width="11.85546875" bestFit="1" customWidth="1"/>
    <col min="496" max="496" width="10.85546875" bestFit="1" customWidth="1"/>
    <col min="497" max="497" width="12.28515625" customWidth="1"/>
    <col min="498" max="498" width="11.5703125" customWidth="1"/>
    <col min="499" max="499" width="10.85546875" bestFit="1" customWidth="1"/>
    <col min="502" max="502" width="11.85546875" bestFit="1" customWidth="1"/>
    <col min="503" max="504" width="12.28515625" customWidth="1"/>
    <col min="505" max="505" width="11.5703125" customWidth="1"/>
    <col min="506" max="506" width="10.85546875" bestFit="1" customWidth="1"/>
    <col min="509" max="509" width="11.85546875" bestFit="1" customWidth="1"/>
    <col min="510" max="511" width="12.28515625" customWidth="1"/>
    <col min="512" max="512" width="11.5703125" customWidth="1"/>
    <col min="513" max="513" width="10.85546875" bestFit="1" customWidth="1"/>
    <col min="516" max="516" width="11.85546875" bestFit="1" customWidth="1"/>
    <col min="517" max="518" width="12.28515625" customWidth="1"/>
    <col min="519" max="519" width="11.5703125" customWidth="1"/>
    <col min="520" max="520" width="10.85546875" bestFit="1" customWidth="1"/>
    <col min="523" max="523" width="11.85546875" bestFit="1" customWidth="1"/>
    <col min="524" max="525" width="12.28515625" customWidth="1"/>
    <col min="526" max="526" width="11.5703125" customWidth="1"/>
    <col min="527" max="527" width="10.85546875" bestFit="1" customWidth="1"/>
    <col min="742" max="742" width="11" customWidth="1"/>
    <col min="743" max="743" width="10.85546875" customWidth="1"/>
    <col min="744" max="744" width="11.85546875" bestFit="1" customWidth="1"/>
    <col min="745" max="745" width="12" customWidth="1"/>
    <col min="746" max="746" width="12.28515625" customWidth="1"/>
    <col min="747" max="747" width="11.5703125" customWidth="1"/>
    <col min="748" max="748" width="12.5703125" customWidth="1"/>
    <col min="749" max="750" width="10.85546875" bestFit="1" customWidth="1"/>
    <col min="751" max="751" width="11.85546875" bestFit="1" customWidth="1"/>
    <col min="752" max="752" width="10.85546875" bestFit="1" customWidth="1"/>
    <col min="753" max="753" width="12.28515625" customWidth="1"/>
    <col min="754" max="754" width="11.5703125" customWidth="1"/>
    <col min="755" max="755" width="10.85546875" bestFit="1" customWidth="1"/>
    <col min="758" max="758" width="11.85546875" bestFit="1" customWidth="1"/>
    <col min="759" max="760" width="12.28515625" customWidth="1"/>
    <col min="761" max="761" width="11.5703125" customWidth="1"/>
    <col min="762" max="762" width="10.85546875" bestFit="1" customWidth="1"/>
    <col min="765" max="765" width="11.85546875" bestFit="1" customWidth="1"/>
    <col min="766" max="767" width="12.28515625" customWidth="1"/>
    <col min="768" max="768" width="11.5703125" customWidth="1"/>
    <col min="769" max="769" width="10.85546875" bestFit="1" customWidth="1"/>
    <col min="772" max="772" width="11.85546875" bestFit="1" customWidth="1"/>
    <col min="773" max="774" width="12.28515625" customWidth="1"/>
    <col min="775" max="775" width="11.5703125" customWidth="1"/>
    <col min="776" max="776" width="10.85546875" bestFit="1" customWidth="1"/>
    <col min="779" max="779" width="11.85546875" bestFit="1" customWidth="1"/>
    <col min="780" max="781" width="12.28515625" customWidth="1"/>
    <col min="782" max="782" width="11.5703125" customWidth="1"/>
    <col min="783" max="783" width="10.85546875" bestFit="1" customWidth="1"/>
    <col min="998" max="998" width="11" customWidth="1"/>
    <col min="999" max="999" width="10.85546875" customWidth="1"/>
    <col min="1000" max="1000" width="11.85546875" bestFit="1" customWidth="1"/>
    <col min="1001" max="1001" width="12" customWidth="1"/>
    <col min="1002" max="1002" width="12.28515625" customWidth="1"/>
    <col min="1003" max="1003" width="11.5703125" customWidth="1"/>
    <col min="1004" max="1004" width="12.5703125" customWidth="1"/>
    <col min="1005" max="1006" width="10.85546875" bestFit="1" customWidth="1"/>
    <col min="1007" max="1007" width="11.85546875" bestFit="1" customWidth="1"/>
    <col min="1008" max="1008" width="10.85546875" bestFit="1" customWidth="1"/>
    <col min="1009" max="1009" width="12.28515625" customWidth="1"/>
    <col min="1010" max="1010" width="11.5703125" customWidth="1"/>
    <col min="1011" max="1011" width="10.85546875" bestFit="1" customWidth="1"/>
    <col min="1014" max="1014" width="11.85546875" bestFit="1" customWidth="1"/>
    <col min="1015" max="1016" width="12.28515625" customWidth="1"/>
    <col min="1017" max="1017" width="11.5703125" customWidth="1"/>
    <col min="1018" max="1018" width="10.85546875" bestFit="1" customWidth="1"/>
    <col min="1021" max="1021" width="11.85546875" bestFit="1" customWidth="1"/>
    <col min="1022" max="1023" width="12.28515625" customWidth="1"/>
    <col min="1024" max="1024" width="11.5703125" customWidth="1"/>
    <col min="1025" max="1025" width="10.85546875" bestFit="1" customWidth="1"/>
    <col min="1028" max="1028" width="11.85546875" bestFit="1" customWidth="1"/>
    <col min="1029" max="1030" width="12.28515625" customWidth="1"/>
    <col min="1031" max="1031" width="11.5703125" customWidth="1"/>
    <col min="1032" max="1032" width="10.85546875" bestFit="1" customWidth="1"/>
    <col min="1035" max="1035" width="11.85546875" bestFit="1" customWidth="1"/>
    <col min="1036" max="1037" width="12.28515625" customWidth="1"/>
    <col min="1038" max="1038" width="11.5703125" customWidth="1"/>
    <col min="1039" max="1039" width="10.85546875" bestFit="1" customWidth="1"/>
    <col min="1254" max="1254" width="11" customWidth="1"/>
    <col min="1255" max="1255" width="10.85546875" customWidth="1"/>
    <col min="1256" max="1256" width="11.85546875" bestFit="1" customWidth="1"/>
    <col min="1257" max="1257" width="12" customWidth="1"/>
    <col min="1258" max="1258" width="12.28515625" customWidth="1"/>
    <col min="1259" max="1259" width="11.5703125" customWidth="1"/>
    <col min="1260" max="1260" width="12.5703125" customWidth="1"/>
    <col min="1261" max="1262" width="10.85546875" bestFit="1" customWidth="1"/>
    <col min="1263" max="1263" width="11.85546875" bestFit="1" customWidth="1"/>
    <col min="1264" max="1264" width="10.85546875" bestFit="1" customWidth="1"/>
    <col min="1265" max="1265" width="12.28515625" customWidth="1"/>
    <col min="1266" max="1266" width="11.5703125" customWidth="1"/>
    <col min="1267" max="1267" width="10.85546875" bestFit="1" customWidth="1"/>
    <col min="1270" max="1270" width="11.85546875" bestFit="1" customWidth="1"/>
    <col min="1271" max="1272" width="12.28515625" customWidth="1"/>
    <col min="1273" max="1273" width="11.5703125" customWidth="1"/>
    <col min="1274" max="1274" width="10.85546875" bestFit="1" customWidth="1"/>
    <col min="1277" max="1277" width="11.85546875" bestFit="1" customWidth="1"/>
    <col min="1278" max="1279" width="12.28515625" customWidth="1"/>
    <col min="1280" max="1280" width="11.5703125" customWidth="1"/>
    <col min="1281" max="1281" width="10.85546875" bestFit="1" customWidth="1"/>
    <col min="1284" max="1284" width="11.85546875" bestFit="1" customWidth="1"/>
    <col min="1285" max="1286" width="12.28515625" customWidth="1"/>
    <col min="1287" max="1287" width="11.5703125" customWidth="1"/>
    <col min="1288" max="1288" width="10.85546875" bestFit="1" customWidth="1"/>
    <col min="1291" max="1291" width="11.85546875" bestFit="1" customWidth="1"/>
    <col min="1292" max="1293" width="12.28515625" customWidth="1"/>
    <col min="1294" max="1294" width="11.5703125" customWidth="1"/>
    <col min="1295" max="1295" width="10.85546875" bestFit="1" customWidth="1"/>
    <col min="1510" max="1510" width="11" customWidth="1"/>
    <col min="1511" max="1511" width="10.85546875" customWidth="1"/>
    <col min="1512" max="1512" width="11.85546875" bestFit="1" customWidth="1"/>
    <col min="1513" max="1513" width="12" customWidth="1"/>
    <col min="1514" max="1514" width="12.28515625" customWidth="1"/>
    <col min="1515" max="1515" width="11.5703125" customWidth="1"/>
    <col min="1516" max="1516" width="12.5703125" customWidth="1"/>
    <col min="1517" max="1518" width="10.85546875" bestFit="1" customWidth="1"/>
    <col min="1519" max="1519" width="11.85546875" bestFit="1" customWidth="1"/>
    <col min="1520" max="1520" width="10.85546875" bestFit="1" customWidth="1"/>
    <col min="1521" max="1521" width="12.28515625" customWidth="1"/>
    <col min="1522" max="1522" width="11.5703125" customWidth="1"/>
    <col min="1523" max="1523" width="10.85546875" bestFit="1" customWidth="1"/>
    <col min="1526" max="1526" width="11.85546875" bestFit="1" customWidth="1"/>
    <col min="1527" max="1528" width="12.28515625" customWidth="1"/>
    <col min="1529" max="1529" width="11.5703125" customWidth="1"/>
    <col min="1530" max="1530" width="10.85546875" bestFit="1" customWidth="1"/>
    <col min="1533" max="1533" width="11.85546875" bestFit="1" customWidth="1"/>
    <col min="1534" max="1535" width="12.28515625" customWidth="1"/>
    <col min="1536" max="1536" width="11.5703125" customWidth="1"/>
    <col min="1537" max="1537" width="10.85546875" bestFit="1" customWidth="1"/>
    <col min="1540" max="1540" width="11.85546875" bestFit="1" customWidth="1"/>
    <col min="1541" max="1542" width="12.28515625" customWidth="1"/>
    <col min="1543" max="1543" width="11.5703125" customWidth="1"/>
    <col min="1544" max="1544" width="10.85546875" bestFit="1" customWidth="1"/>
    <col min="1547" max="1547" width="11.85546875" bestFit="1" customWidth="1"/>
    <col min="1548" max="1549" width="12.28515625" customWidth="1"/>
    <col min="1550" max="1550" width="11.5703125" customWidth="1"/>
    <col min="1551" max="1551" width="10.85546875" bestFit="1" customWidth="1"/>
    <col min="1766" max="1766" width="11" customWidth="1"/>
    <col min="1767" max="1767" width="10.85546875" customWidth="1"/>
    <col min="1768" max="1768" width="11.85546875" bestFit="1" customWidth="1"/>
    <col min="1769" max="1769" width="12" customWidth="1"/>
    <col min="1770" max="1770" width="12.28515625" customWidth="1"/>
    <col min="1771" max="1771" width="11.5703125" customWidth="1"/>
    <col min="1772" max="1772" width="12.5703125" customWidth="1"/>
    <col min="1773" max="1774" width="10.85546875" bestFit="1" customWidth="1"/>
    <col min="1775" max="1775" width="11.85546875" bestFit="1" customWidth="1"/>
    <col min="1776" max="1776" width="10.85546875" bestFit="1" customWidth="1"/>
    <col min="1777" max="1777" width="12.28515625" customWidth="1"/>
    <col min="1778" max="1778" width="11.5703125" customWidth="1"/>
    <col min="1779" max="1779" width="10.85546875" bestFit="1" customWidth="1"/>
    <col min="1782" max="1782" width="11.85546875" bestFit="1" customWidth="1"/>
    <col min="1783" max="1784" width="12.28515625" customWidth="1"/>
    <col min="1785" max="1785" width="11.5703125" customWidth="1"/>
    <col min="1786" max="1786" width="10.85546875" bestFit="1" customWidth="1"/>
    <col min="1789" max="1789" width="11.85546875" bestFit="1" customWidth="1"/>
    <col min="1790" max="1791" width="12.28515625" customWidth="1"/>
    <col min="1792" max="1792" width="11.5703125" customWidth="1"/>
    <col min="1793" max="1793" width="10.85546875" bestFit="1" customWidth="1"/>
    <col min="1796" max="1796" width="11.85546875" bestFit="1" customWidth="1"/>
    <col min="1797" max="1798" width="12.28515625" customWidth="1"/>
    <col min="1799" max="1799" width="11.5703125" customWidth="1"/>
    <col min="1800" max="1800" width="10.85546875" bestFit="1" customWidth="1"/>
    <col min="1803" max="1803" width="11.85546875" bestFit="1" customWidth="1"/>
    <col min="1804" max="1805" width="12.28515625" customWidth="1"/>
    <col min="1806" max="1806" width="11.5703125" customWidth="1"/>
    <col min="1807" max="1807" width="10.85546875" bestFit="1" customWidth="1"/>
    <col min="2022" max="2022" width="11" customWidth="1"/>
    <col min="2023" max="2023" width="10.85546875" customWidth="1"/>
    <col min="2024" max="2024" width="11.85546875" bestFit="1" customWidth="1"/>
    <col min="2025" max="2025" width="12" customWidth="1"/>
    <col min="2026" max="2026" width="12.28515625" customWidth="1"/>
    <col min="2027" max="2027" width="11.5703125" customWidth="1"/>
    <col min="2028" max="2028" width="12.5703125" customWidth="1"/>
    <col min="2029" max="2030" width="10.85546875" bestFit="1" customWidth="1"/>
    <col min="2031" max="2031" width="11.85546875" bestFit="1" customWidth="1"/>
    <col min="2032" max="2032" width="10.85546875" bestFit="1" customWidth="1"/>
    <col min="2033" max="2033" width="12.28515625" customWidth="1"/>
    <col min="2034" max="2034" width="11.5703125" customWidth="1"/>
    <col min="2035" max="2035" width="10.85546875" bestFit="1" customWidth="1"/>
    <col min="2038" max="2038" width="11.85546875" bestFit="1" customWidth="1"/>
    <col min="2039" max="2040" width="12.28515625" customWidth="1"/>
    <col min="2041" max="2041" width="11.5703125" customWidth="1"/>
    <col min="2042" max="2042" width="10.85546875" bestFit="1" customWidth="1"/>
    <col min="2045" max="2045" width="11.85546875" bestFit="1" customWidth="1"/>
    <col min="2046" max="2047" width="12.28515625" customWidth="1"/>
    <col min="2048" max="2048" width="11.5703125" customWidth="1"/>
    <col min="2049" max="2049" width="10.85546875" bestFit="1" customWidth="1"/>
    <col min="2052" max="2052" width="11.85546875" bestFit="1" customWidth="1"/>
    <col min="2053" max="2054" width="12.28515625" customWidth="1"/>
    <col min="2055" max="2055" width="11.5703125" customWidth="1"/>
    <col min="2056" max="2056" width="10.85546875" bestFit="1" customWidth="1"/>
    <col min="2059" max="2059" width="11.85546875" bestFit="1" customWidth="1"/>
    <col min="2060" max="2061" width="12.28515625" customWidth="1"/>
    <col min="2062" max="2062" width="11.5703125" customWidth="1"/>
    <col min="2063" max="2063" width="10.85546875" bestFit="1" customWidth="1"/>
    <col min="2278" max="2278" width="11" customWidth="1"/>
    <col min="2279" max="2279" width="10.85546875" customWidth="1"/>
    <col min="2280" max="2280" width="11.85546875" bestFit="1" customWidth="1"/>
    <col min="2281" max="2281" width="12" customWidth="1"/>
    <col min="2282" max="2282" width="12.28515625" customWidth="1"/>
    <col min="2283" max="2283" width="11.5703125" customWidth="1"/>
    <col min="2284" max="2284" width="12.5703125" customWidth="1"/>
    <col min="2285" max="2286" width="10.85546875" bestFit="1" customWidth="1"/>
    <col min="2287" max="2287" width="11.85546875" bestFit="1" customWidth="1"/>
    <col min="2288" max="2288" width="10.85546875" bestFit="1" customWidth="1"/>
    <col min="2289" max="2289" width="12.28515625" customWidth="1"/>
    <col min="2290" max="2290" width="11.5703125" customWidth="1"/>
    <col min="2291" max="2291" width="10.85546875" bestFit="1" customWidth="1"/>
    <col min="2294" max="2294" width="11.85546875" bestFit="1" customWidth="1"/>
    <col min="2295" max="2296" width="12.28515625" customWidth="1"/>
    <col min="2297" max="2297" width="11.5703125" customWidth="1"/>
    <col min="2298" max="2298" width="10.85546875" bestFit="1" customWidth="1"/>
    <col min="2301" max="2301" width="11.85546875" bestFit="1" customWidth="1"/>
    <col min="2302" max="2303" width="12.28515625" customWidth="1"/>
    <col min="2304" max="2304" width="11.5703125" customWidth="1"/>
    <col min="2305" max="2305" width="10.85546875" bestFit="1" customWidth="1"/>
    <col min="2308" max="2308" width="11.85546875" bestFit="1" customWidth="1"/>
    <col min="2309" max="2310" width="12.28515625" customWidth="1"/>
    <col min="2311" max="2311" width="11.5703125" customWidth="1"/>
    <col min="2312" max="2312" width="10.85546875" bestFit="1" customWidth="1"/>
    <col min="2315" max="2315" width="11.85546875" bestFit="1" customWidth="1"/>
    <col min="2316" max="2317" width="12.28515625" customWidth="1"/>
    <col min="2318" max="2318" width="11.5703125" customWidth="1"/>
    <col min="2319" max="2319" width="10.85546875" bestFit="1" customWidth="1"/>
    <col min="2534" max="2534" width="11" customWidth="1"/>
    <col min="2535" max="2535" width="10.85546875" customWidth="1"/>
    <col min="2536" max="2536" width="11.85546875" bestFit="1" customWidth="1"/>
    <col min="2537" max="2537" width="12" customWidth="1"/>
    <col min="2538" max="2538" width="12.28515625" customWidth="1"/>
    <col min="2539" max="2539" width="11.5703125" customWidth="1"/>
    <col min="2540" max="2540" width="12.5703125" customWidth="1"/>
    <col min="2541" max="2542" width="10.85546875" bestFit="1" customWidth="1"/>
    <col min="2543" max="2543" width="11.85546875" bestFit="1" customWidth="1"/>
    <col min="2544" max="2544" width="10.85546875" bestFit="1" customWidth="1"/>
    <col min="2545" max="2545" width="12.28515625" customWidth="1"/>
    <col min="2546" max="2546" width="11.5703125" customWidth="1"/>
    <col min="2547" max="2547" width="10.85546875" bestFit="1" customWidth="1"/>
    <col min="2550" max="2550" width="11.85546875" bestFit="1" customWidth="1"/>
    <col min="2551" max="2552" width="12.28515625" customWidth="1"/>
    <col min="2553" max="2553" width="11.5703125" customWidth="1"/>
    <col min="2554" max="2554" width="10.85546875" bestFit="1" customWidth="1"/>
    <col min="2557" max="2557" width="11.85546875" bestFit="1" customWidth="1"/>
    <col min="2558" max="2559" width="12.28515625" customWidth="1"/>
    <col min="2560" max="2560" width="11.5703125" customWidth="1"/>
    <col min="2561" max="2561" width="10.85546875" bestFit="1" customWidth="1"/>
    <col min="2564" max="2564" width="11.85546875" bestFit="1" customWidth="1"/>
    <col min="2565" max="2566" width="12.28515625" customWidth="1"/>
    <col min="2567" max="2567" width="11.5703125" customWidth="1"/>
    <col min="2568" max="2568" width="10.85546875" bestFit="1" customWidth="1"/>
    <col min="2571" max="2571" width="11.85546875" bestFit="1" customWidth="1"/>
    <col min="2572" max="2573" width="12.28515625" customWidth="1"/>
    <col min="2574" max="2574" width="11.5703125" customWidth="1"/>
    <col min="2575" max="2575" width="10.85546875" bestFit="1" customWidth="1"/>
    <col min="2790" max="2790" width="11" customWidth="1"/>
    <col min="2791" max="2791" width="10.85546875" customWidth="1"/>
    <col min="2792" max="2792" width="11.85546875" bestFit="1" customWidth="1"/>
    <col min="2793" max="2793" width="12" customWidth="1"/>
    <col min="2794" max="2794" width="12.28515625" customWidth="1"/>
    <col min="2795" max="2795" width="11.5703125" customWidth="1"/>
    <col min="2796" max="2796" width="12.5703125" customWidth="1"/>
    <col min="2797" max="2798" width="10.85546875" bestFit="1" customWidth="1"/>
    <col min="2799" max="2799" width="11.85546875" bestFit="1" customWidth="1"/>
    <col min="2800" max="2800" width="10.85546875" bestFit="1" customWidth="1"/>
    <col min="2801" max="2801" width="12.28515625" customWidth="1"/>
    <col min="2802" max="2802" width="11.5703125" customWidth="1"/>
    <col min="2803" max="2803" width="10.85546875" bestFit="1" customWidth="1"/>
    <col min="2806" max="2806" width="11.85546875" bestFit="1" customWidth="1"/>
    <col min="2807" max="2808" width="12.28515625" customWidth="1"/>
    <col min="2809" max="2809" width="11.5703125" customWidth="1"/>
    <col min="2810" max="2810" width="10.85546875" bestFit="1" customWidth="1"/>
    <col min="2813" max="2813" width="11.85546875" bestFit="1" customWidth="1"/>
    <col min="2814" max="2815" width="12.28515625" customWidth="1"/>
    <col min="2816" max="2816" width="11.5703125" customWidth="1"/>
    <col min="2817" max="2817" width="10.85546875" bestFit="1" customWidth="1"/>
    <col min="2820" max="2820" width="11.85546875" bestFit="1" customWidth="1"/>
    <col min="2821" max="2822" width="12.28515625" customWidth="1"/>
    <col min="2823" max="2823" width="11.5703125" customWidth="1"/>
    <col min="2824" max="2824" width="10.85546875" bestFit="1" customWidth="1"/>
    <col min="2827" max="2827" width="11.85546875" bestFit="1" customWidth="1"/>
    <col min="2828" max="2829" width="12.28515625" customWidth="1"/>
    <col min="2830" max="2830" width="11.5703125" customWidth="1"/>
    <col min="2831" max="2831" width="10.85546875" bestFit="1" customWidth="1"/>
    <col min="3046" max="3046" width="11" customWidth="1"/>
    <col min="3047" max="3047" width="10.85546875" customWidth="1"/>
    <col min="3048" max="3048" width="11.85546875" bestFit="1" customWidth="1"/>
    <col min="3049" max="3049" width="12" customWidth="1"/>
    <col min="3050" max="3050" width="12.28515625" customWidth="1"/>
    <col min="3051" max="3051" width="11.5703125" customWidth="1"/>
    <col min="3052" max="3052" width="12.5703125" customWidth="1"/>
    <col min="3053" max="3054" width="10.85546875" bestFit="1" customWidth="1"/>
    <col min="3055" max="3055" width="11.85546875" bestFit="1" customWidth="1"/>
    <col min="3056" max="3056" width="10.85546875" bestFit="1" customWidth="1"/>
    <col min="3057" max="3057" width="12.28515625" customWidth="1"/>
    <col min="3058" max="3058" width="11.5703125" customWidth="1"/>
    <col min="3059" max="3059" width="10.85546875" bestFit="1" customWidth="1"/>
    <col min="3062" max="3062" width="11.85546875" bestFit="1" customWidth="1"/>
    <col min="3063" max="3064" width="12.28515625" customWidth="1"/>
    <col min="3065" max="3065" width="11.5703125" customWidth="1"/>
    <col min="3066" max="3066" width="10.85546875" bestFit="1" customWidth="1"/>
    <col min="3069" max="3069" width="11.85546875" bestFit="1" customWidth="1"/>
    <col min="3070" max="3071" width="12.28515625" customWidth="1"/>
    <col min="3072" max="3072" width="11.5703125" customWidth="1"/>
    <col min="3073" max="3073" width="10.85546875" bestFit="1" customWidth="1"/>
    <col min="3076" max="3076" width="11.85546875" bestFit="1" customWidth="1"/>
    <col min="3077" max="3078" width="12.28515625" customWidth="1"/>
    <col min="3079" max="3079" width="11.5703125" customWidth="1"/>
    <col min="3080" max="3080" width="10.85546875" bestFit="1" customWidth="1"/>
    <col min="3083" max="3083" width="11.85546875" bestFit="1" customWidth="1"/>
    <col min="3084" max="3085" width="12.28515625" customWidth="1"/>
    <col min="3086" max="3086" width="11.5703125" customWidth="1"/>
    <col min="3087" max="3087" width="10.85546875" bestFit="1" customWidth="1"/>
    <col min="3302" max="3302" width="11" customWidth="1"/>
    <col min="3303" max="3303" width="10.85546875" customWidth="1"/>
    <col min="3304" max="3304" width="11.85546875" bestFit="1" customWidth="1"/>
    <col min="3305" max="3305" width="12" customWidth="1"/>
    <col min="3306" max="3306" width="12.28515625" customWidth="1"/>
    <col min="3307" max="3307" width="11.5703125" customWidth="1"/>
    <col min="3308" max="3308" width="12.5703125" customWidth="1"/>
    <col min="3309" max="3310" width="10.85546875" bestFit="1" customWidth="1"/>
    <col min="3311" max="3311" width="11.85546875" bestFit="1" customWidth="1"/>
    <col min="3312" max="3312" width="10.85546875" bestFit="1" customWidth="1"/>
    <col min="3313" max="3313" width="12.28515625" customWidth="1"/>
    <col min="3314" max="3314" width="11.5703125" customWidth="1"/>
    <col min="3315" max="3315" width="10.85546875" bestFit="1" customWidth="1"/>
    <col min="3318" max="3318" width="11.85546875" bestFit="1" customWidth="1"/>
    <col min="3319" max="3320" width="12.28515625" customWidth="1"/>
    <col min="3321" max="3321" width="11.5703125" customWidth="1"/>
    <col min="3322" max="3322" width="10.85546875" bestFit="1" customWidth="1"/>
    <col min="3325" max="3325" width="11.85546875" bestFit="1" customWidth="1"/>
    <col min="3326" max="3327" width="12.28515625" customWidth="1"/>
    <col min="3328" max="3328" width="11.5703125" customWidth="1"/>
    <col min="3329" max="3329" width="10.85546875" bestFit="1" customWidth="1"/>
    <col min="3332" max="3332" width="11.85546875" bestFit="1" customWidth="1"/>
    <col min="3333" max="3334" width="12.28515625" customWidth="1"/>
    <col min="3335" max="3335" width="11.5703125" customWidth="1"/>
    <col min="3336" max="3336" width="10.85546875" bestFit="1" customWidth="1"/>
    <col min="3339" max="3339" width="11.85546875" bestFit="1" customWidth="1"/>
    <col min="3340" max="3341" width="12.28515625" customWidth="1"/>
    <col min="3342" max="3342" width="11.5703125" customWidth="1"/>
    <col min="3343" max="3343" width="10.85546875" bestFit="1" customWidth="1"/>
    <col min="3558" max="3558" width="11" customWidth="1"/>
    <col min="3559" max="3559" width="10.85546875" customWidth="1"/>
    <col min="3560" max="3560" width="11.85546875" bestFit="1" customWidth="1"/>
    <col min="3561" max="3561" width="12" customWidth="1"/>
    <col min="3562" max="3562" width="12.28515625" customWidth="1"/>
    <col min="3563" max="3563" width="11.5703125" customWidth="1"/>
    <col min="3564" max="3564" width="12.5703125" customWidth="1"/>
    <col min="3565" max="3566" width="10.85546875" bestFit="1" customWidth="1"/>
    <col min="3567" max="3567" width="11.85546875" bestFit="1" customWidth="1"/>
    <col min="3568" max="3568" width="10.85546875" bestFit="1" customWidth="1"/>
    <col min="3569" max="3569" width="12.28515625" customWidth="1"/>
    <col min="3570" max="3570" width="11.5703125" customWidth="1"/>
    <col min="3571" max="3571" width="10.85546875" bestFit="1" customWidth="1"/>
    <col min="3574" max="3574" width="11.85546875" bestFit="1" customWidth="1"/>
    <col min="3575" max="3576" width="12.28515625" customWidth="1"/>
    <col min="3577" max="3577" width="11.5703125" customWidth="1"/>
    <col min="3578" max="3578" width="10.85546875" bestFit="1" customWidth="1"/>
    <col min="3581" max="3581" width="11.85546875" bestFit="1" customWidth="1"/>
    <col min="3582" max="3583" width="12.28515625" customWidth="1"/>
    <col min="3584" max="3584" width="11.5703125" customWidth="1"/>
    <col min="3585" max="3585" width="10.85546875" bestFit="1" customWidth="1"/>
    <col min="3588" max="3588" width="11.85546875" bestFit="1" customWidth="1"/>
    <col min="3589" max="3590" width="12.28515625" customWidth="1"/>
    <col min="3591" max="3591" width="11.5703125" customWidth="1"/>
    <col min="3592" max="3592" width="10.85546875" bestFit="1" customWidth="1"/>
    <col min="3595" max="3595" width="11.85546875" bestFit="1" customWidth="1"/>
    <col min="3596" max="3597" width="12.28515625" customWidth="1"/>
    <col min="3598" max="3598" width="11.5703125" customWidth="1"/>
    <col min="3599" max="3599" width="10.85546875" bestFit="1" customWidth="1"/>
    <col min="3814" max="3814" width="11" customWidth="1"/>
    <col min="3815" max="3815" width="10.85546875" customWidth="1"/>
    <col min="3816" max="3816" width="11.85546875" bestFit="1" customWidth="1"/>
    <col min="3817" max="3817" width="12" customWidth="1"/>
    <col min="3818" max="3818" width="12.28515625" customWidth="1"/>
    <col min="3819" max="3819" width="11.5703125" customWidth="1"/>
    <col min="3820" max="3820" width="12.5703125" customWidth="1"/>
    <col min="3821" max="3822" width="10.85546875" bestFit="1" customWidth="1"/>
    <col min="3823" max="3823" width="11.85546875" bestFit="1" customWidth="1"/>
    <col min="3824" max="3824" width="10.85546875" bestFit="1" customWidth="1"/>
    <col min="3825" max="3825" width="12.28515625" customWidth="1"/>
    <col min="3826" max="3826" width="11.5703125" customWidth="1"/>
    <col min="3827" max="3827" width="10.85546875" bestFit="1" customWidth="1"/>
    <col min="3830" max="3830" width="11.85546875" bestFit="1" customWidth="1"/>
    <col min="3831" max="3832" width="12.28515625" customWidth="1"/>
    <col min="3833" max="3833" width="11.5703125" customWidth="1"/>
    <col min="3834" max="3834" width="10.85546875" bestFit="1" customWidth="1"/>
    <col min="3837" max="3837" width="11.85546875" bestFit="1" customWidth="1"/>
    <col min="3838" max="3839" width="12.28515625" customWidth="1"/>
    <col min="3840" max="3840" width="11.5703125" customWidth="1"/>
    <col min="3841" max="3841" width="10.85546875" bestFit="1" customWidth="1"/>
    <col min="3844" max="3844" width="11.85546875" bestFit="1" customWidth="1"/>
    <col min="3845" max="3846" width="12.28515625" customWidth="1"/>
    <col min="3847" max="3847" width="11.5703125" customWidth="1"/>
    <col min="3848" max="3848" width="10.85546875" bestFit="1" customWidth="1"/>
    <col min="3851" max="3851" width="11.85546875" bestFit="1" customWidth="1"/>
    <col min="3852" max="3853" width="12.28515625" customWidth="1"/>
    <col min="3854" max="3854" width="11.5703125" customWidth="1"/>
    <col min="3855" max="3855" width="10.85546875" bestFit="1" customWidth="1"/>
    <col min="4070" max="4070" width="11" customWidth="1"/>
    <col min="4071" max="4071" width="10.85546875" customWidth="1"/>
    <col min="4072" max="4072" width="11.85546875" bestFit="1" customWidth="1"/>
    <col min="4073" max="4073" width="12" customWidth="1"/>
    <col min="4074" max="4074" width="12.28515625" customWidth="1"/>
    <col min="4075" max="4075" width="11.5703125" customWidth="1"/>
    <col min="4076" max="4076" width="12.5703125" customWidth="1"/>
    <col min="4077" max="4078" width="10.85546875" bestFit="1" customWidth="1"/>
    <col min="4079" max="4079" width="11.85546875" bestFit="1" customWidth="1"/>
    <col min="4080" max="4080" width="10.85546875" bestFit="1" customWidth="1"/>
    <col min="4081" max="4081" width="12.28515625" customWidth="1"/>
    <col min="4082" max="4082" width="11.5703125" customWidth="1"/>
    <col min="4083" max="4083" width="10.85546875" bestFit="1" customWidth="1"/>
    <col min="4086" max="4086" width="11.85546875" bestFit="1" customWidth="1"/>
    <col min="4087" max="4088" width="12.28515625" customWidth="1"/>
    <col min="4089" max="4089" width="11.5703125" customWidth="1"/>
    <col min="4090" max="4090" width="10.85546875" bestFit="1" customWidth="1"/>
    <col min="4093" max="4093" width="11.85546875" bestFit="1" customWidth="1"/>
    <col min="4094" max="4095" width="12.28515625" customWidth="1"/>
    <col min="4096" max="4096" width="11.5703125" customWidth="1"/>
    <col min="4097" max="4097" width="10.85546875" bestFit="1" customWidth="1"/>
    <col min="4100" max="4100" width="11.85546875" bestFit="1" customWidth="1"/>
    <col min="4101" max="4102" width="12.28515625" customWidth="1"/>
    <col min="4103" max="4103" width="11.5703125" customWidth="1"/>
    <col min="4104" max="4104" width="10.85546875" bestFit="1" customWidth="1"/>
    <col min="4107" max="4107" width="11.85546875" bestFit="1" customWidth="1"/>
    <col min="4108" max="4109" width="12.28515625" customWidth="1"/>
    <col min="4110" max="4110" width="11.5703125" customWidth="1"/>
    <col min="4111" max="4111" width="10.85546875" bestFit="1" customWidth="1"/>
    <col min="4326" max="4326" width="11" customWidth="1"/>
    <col min="4327" max="4327" width="10.85546875" customWidth="1"/>
    <col min="4328" max="4328" width="11.85546875" bestFit="1" customWidth="1"/>
    <col min="4329" max="4329" width="12" customWidth="1"/>
    <col min="4330" max="4330" width="12.28515625" customWidth="1"/>
    <col min="4331" max="4331" width="11.5703125" customWidth="1"/>
    <col min="4332" max="4332" width="12.5703125" customWidth="1"/>
    <col min="4333" max="4334" width="10.85546875" bestFit="1" customWidth="1"/>
    <col min="4335" max="4335" width="11.85546875" bestFit="1" customWidth="1"/>
    <col min="4336" max="4336" width="10.85546875" bestFit="1" customWidth="1"/>
    <col min="4337" max="4337" width="12.28515625" customWidth="1"/>
    <col min="4338" max="4338" width="11.5703125" customWidth="1"/>
    <col min="4339" max="4339" width="10.85546875" bestFit="1" customWidth="1"/>
    <col min="4342" max="4342" width="11.85546875" bestFit="1" customWidth="1"/>
    <col min="4343" max="4344" width="12.28515625" customWidth="1"/>
    <col min="4345" max="4345" width="11.5703125" customWidth="1"/>
    <col min="4346" max="4346" width="10.85546875" bestFit="1" customWidth="1"/>
    <col min="4349" max="4349" width="11.85546875" bestFit="1" customWidth="1"/>
    <col min="4350" max="4351" width="12.28515625" customWidth="1"/>
    <col min="4352" max="4352" width="11.5703125" customWidth="1"/>
    <col min="4353" max="4353" width="10.85546875" bestFit="1" customWidth="1"/>
    <col min="4356" max="4356" width="11.85546875" bestFit="1" customWidth="1"/>
    <col min="4357" max="4358" width="12.28515625" customWidth="1"/>
    <col min="4359" max="4359" width="11.5703125" customWidth="1"/>
    <col min="4360" max="4360" width="10.85546875" bestFit="1" customWidth="1"/>
    <col min="4363" max="4363" width="11.85546875" bestFit="1" customWidth="1"/>
    <col min="4364" max="4365" width="12.28515625" customWidth="1"/>
    <col min="4366" max="4366" width="11.5703125" customWidth="1"/>
    <col min="4367" max="4367" width="10.85546875" bestFit="1" customWidth="1"/>
    <col min="4582" max="4582" width="11" customWidth="1"/>
    <col min="4583" max="4583" width="10.85546875" customWidth="1"/>
    <col min="4584" max="4584" width="11.85546875" bestFit="1" customWidth="1"/>
    <col min="4585" max="4585" width="12" customWidth="1"/>
    <col min="4586" max="4586" width="12.28515625" customWidth="1"/>
    <col min="4587" max="4587" width="11.5703125" customWidth="1"/>
    <col min="4588" max="4588" width="12.5703125" customWidth="1"/>
    <col min="4589" max="4590" width="10.85546875" bestFit="1" customWidth="1"/>
    <col min="4591" max="4591" width="11.85546875" bestFit="1" customWidth="1"/>
    <col min="4592" max="4592" width="10.85546875" bestFit="1" customWidth="1"/>
    <col min="4593" max="4593" width="12.28515625" customWidth="1"/>
    <col min="4594" max="4594" width="11.5703125" customWidth="1"/>
    <col min="4595" max="4595" width="10.85546875" bestFit="1" customWidth="1"/>
    <col min="4598" max="4598" width="11.85546875" bestFit="1" customWidth="1"/>
    <col min="4599" max="4600" width="12.28515625" customWidth="1"/>
    <col min="4601" max="4601" width="11.5703125" customWidth="1"/>
    <col min="4602" max="4602" width="10.85546875" bestFit="1" customWidth="1"/>
    <col min="4605" max="4605" width="11.85546875" bestFit="1" customWidth="1"/>
    <col min="4606" max="4607" width="12.28515625" customWidth="1"/>
    <col min="4608" max="4608" width="11.5703125" customWidth="1"/>
    <col min="4609" max="4609" width="10.85546875" bestFit="1" customWidth="1"/>
    <col min="4612" max="4612" width="11.85546875" bestFit="1" customWidth="1"/>
    <col min="4613" max="4614" width="12.28515625" customWidth="1"/>
    <col min="4615" max="4615" width="11.5703125" customWidth="1"/>
    <col min="4616" max="4616" width="10.85546875" bestFit="1" customWidth="1"/>
    <col min="4619" max="4619" width="11.85546875" bestFit="1" customWidth="1"/>
    <col min="4620" max="4621" width="12.28515625" customWidth="1"/>
    <col min="4622" max="4622" width="11.5703125" customWidth="1"/>
    <col min="4623" max="4623" width="10.85546875" bestFit="1" customWidth="1"/>
    <col min="4838" max="4838" width="11" customWidth="1"/>
    <col min="4839" max="4839" width="10.85546875" customWidth="1"/>
    <col min="4840" max="4840" width="11.85546875" bestFit="1" customWidth="1"/>
    <col min="4841" max="4841" width="12" customWidth="1"/>
    <col min="4842" max="4842" width="12.28515625" customWidth="1"/>
    <col min="4843" max="4843" width="11.5703125" customWidth="1"/>
    <col min="4844" max="4844" width="12.5703125" customWidth="1"/>
    <col min="4845" max="4846" width="10.85546875" bestFit="1" customWidth="1"/>
    <col min="4847" max="4847" width="11.85546875" bestFit="1" customWidth="1"/>
    <col min="4848" max="4848" width="10.85546875" bestFit="1" customWidth="1"/>
    <col min="4849" max="4849" width="12.28515625" customWidth="1"/>
    <col min="4850" max="4850" width="11.5703125" customWidth="1"/>
    <col min="4851" max="4851" width="10.85546875" bestFit="1" customWidth="1"/>
    <col min="4854" max="4854" width="11.85546875" bestFit="1" customWidth="1"/>
    <col min="4855" max="4856" width="12.28515625" customWidth="1"/>
    <col min="4857" max="4857" width="11.5703125" customWidth="1"/>
    <col min="4858" max="4858" width="10.85546875" bestFit="1" customWidth="1"/>
    <col min="4861" max="4861" width="11.85546875" bestFit="1" customWidth="1"/>
    <col min="4862" max="4863" width="12.28515625" customWidth="1"/>
    <col min="4864" max="4864" width="11.5703125" customWidth="1"/>
    <col min="4865" max="4865" width="10.85546875" bestFit="1" customWidth="1"/>
    <col min="4868" max="4868" width="11.85546875" bestFit="1" customWidth="1"/>
    <col min="4869" max="4870" width="12.28515625" customWidth="1"/>
    <col min="4871" max="4871" width="11.5703125" customWidth="1"/>
    <col min="4872" max="4872" width="10.85546875" bestFit="1" customWidth="1"/>
    <col min="4875" max="4875" width="11.85546875" bestFit="1" customWidth="1"/>
    <col min="4876" max="4877" width="12.28515625" customWidth="1"/>
    <col min="4878" max="4878" width="11.5703125" customWidth="1"/>
    <col min="4879" max="4879" width="10.85546875" bestFit="1" customWidth="1"/>
    <col min="5094" max="5094" width="11" customWidth="1"/>
    <col min="5095" max="5095" width="10.85546875" customWidth="1"/>
    <col min="5096" max="5096" width="11.85546875" bestFit="1" customWidth="1"/>
    <col min="5097" max="5097" width="12" customWidth="1"/>
    <col min="5098" max="5098" width="12.28515625" customWidth="1"/>
    <col min="5099" max="5099" width="11.5703125" customWidth="1"/>
    <col min="5100" max="5100" width="12.5703125" customWidth="1"/>
    <col min="5101" max="5102" width="10.85546875" bestFit="1" customWidth="1"/>
    <col min="5103" max="5103" width="11.85546875" bestFit="1" customWidth="1"/>
    <col min="5104" max="5104" width="10.85546875" bestFit="1" customWidth="1"/>
    <col min="5105" max="5105" width="12.28515625" customWidth="1"/>
    <col min="5106" max="5106" width="11.5703125" customWidth="1"/>
    <col min="5107" max="5107" width="10.85546875" bestFit="1" customWidth="1"/>
    <col min="5110" max="5110" width="11.85546875" bestFit="1" customWidth="1"/>
    <col min="5111" max="5112" width="12.28515625" customWidth="1"/>
    <col min="5113" max="5113" width="11.5703125" customWidth="1"/>
    <col min="5114" max="5114" width="10.85546875" bestFit="1" customWidth="1"/>
    <col min="5117" max="5117" width="11.85546875" bestFit="1" customWidth="1"/>
    <col min="5118" max="5119" width="12.28515625" customWidth="1"/>
    <col min="5120" max="5120" width="11.5703125" customWidth="1"/>
    <col min="5121" max="5121" width="10.85546875" bestFit="1" customWidth="1"/>
    <col min="5124" max="5124" width="11.85546875" bestFit="1" customWidth="1"/>
    <col min="5125" max="5126" width="12.28515625" customWidth="1"/>
    <col min="5127" max="5127" width="11.5703125" customWidth="1"/>
    <col min="5128" max="5128" width="10.85546875" bestFit="1" customWidth="1"/>
    <col min="5131" max="5131" width="11.85546875" bestFit="1" customWidth="1"/>
    <col min="5132" max="5133" width="12.28515625" customWidth="1"/>
    <col min="5134" max="5134" width="11.5703125" customWidth="1"/>
    <col min="5135" max="5135" width="10.85546875" bestFit="1" customWidth="1"/>
    <col min="5350" max="5350" width="11" customWidth="1"/>
    <col min="5351" max="5351" width="10.85546875" customWidth="1"/>
    <col min="5352" max="5352" width="11.85546875" bestFit="1" customWidth="1"/>
    <col min="5353" max="5353" width="12" customWidth="1"/>
    <col min="5354" max="5354" width="12.28515625" customWidth="1"/>
    <col min="5355" max="5355" width="11.5703125" customWidth="1"/>
    <col min="5356" max="5356" width="12.5703125" customWidth="1"/>
    <col min="5357" max="5358" width="10.85546875" bestFit="1" customWidth="1"/>
    <col min="5359" max="5359" width="11.85546875" bestFit="1" customWidth="1"/>
    <col min="5360" max="5360" width="10.85546875" bestFit="1" customWidth="1"/>
    <col min="5361" max="5361" width="12.28515625" customWidth="1"/>
    <col min="5362" max="5362" width="11.5703125" customWidth="1"/>
    <col min="5363" max="5363" width="10.85546875" bestFit="1" customWidth="1"/>
    <col min="5366" max="5366" width="11.85546875" bestFit="1" customWidth="1"/>
    <col min="5367" max="5368" width="12.28515625" customWidth="1"/>
    <col min="5369" max="5369" width="11.5703125" customWidth="1"/>
    <col min="5370" max="5370" width="10.85546875" bestFit="1" customWidth="1"/>
    <col min="5373" max="5373" width="11.85546875" bestFit="1" customWidth="1"/>
    <col min="5374" max="5375" width="12.28515625" customWidth="1"/>
    <col min="5376" max="5376" width="11.5703125" customWidth="1"/>
    <col min="5377" max="5377" width="10.85546875" bestFit="1" customWidth="1"/>
    <col min="5380" max="5380" width="11.85546875" bestFit="1" customWidth="1"/>
    <col min="5381" max="5382" width="12.28515625" customWidth="1"/>
    <col min="5383" max="5383" width="11.5703125" customWidth="1"/>
    <col min="5384" max="5384" width="10.85546875" bestFit="1" customWidth="1"/>
    <col min="5387" max="5387" width="11.85546875" bestFit="1" customWidth="1"/>
    <col min="5388" max="5389" width="12.28515625" customWidth="1"/>
    <col min="5390" max="5390" width="11.5703125" customWidth="1"/>
    <col min="5391" max="5391" width="10.85546875" bestFit="1" customWidth="1"/>
    <col min="5606" max="5606" width="11" customWidth="1"/>
    <col min="5607" max="5607" width="10.85546875" customWidth="1"/>
    <col min="5608" max="5608" width="11.85546875" bestFit="1" customWidth="1"/>
    <col min="5609" max="5609" width="12" customWidth="1"/>
    <col min="5610" max="5610" width="12.28515625" customWidth="1"/>
    <col min="5611" max="5611" width="11.5703125" customWidth="1"/>
    <col min="5612" max="5612" width="12.5703125" customWidth="1"/>
    <col min="5613" max="5614" width="10.85546875" bestFit="1" customWidth="1"/>
    <col min="5615" max="5615" width="11.85546875" bestFit="1" customWidth="1"/>
    <col min="5616" max="5616" width="10.85546875" bestFit="1" customWidth="1"/>
    <col min="5617" max="5617" width="12.28515625" customWidth="1"/>
    <col min="5618" max="5618" width="11.5703125" customWidth="1"/>
    <col min="5619" max="5619" width="10.85546875" bestFit="1" customWidth="1"/>
    <col min="5622" max="5622" width="11.85546875" bestFit="1" customWidth="1"/>
    <col min="5623" max="5624" width="12.28515625" customWidth="1"/>
    <col min="5625" max="5625" width="11.5703125" customWidth="1"/>
    <col min="5626" max="5626" width="10.85546875" bestFit="1" customWidth="1"/>
    <col min="5629" max="5629" width="11.85546875" bestFit="1" customWidth="1"/>
    <col min="5630" max="5631" width="12.28515625" customWidth="1"/>
    <col min="5632" max="5632" width="11.5703125" customWidth="1"/>
    <col min="5633" max="5633" width="10.85546875" bestFit="1" customWidth="1"/>
    <col min="5636" max="5636" width="11.85546875" bestFit="1" customWidth="1"/>
    <col min="5637" max="5638" width="12.28515625" customWidth="1"/>
    <col min="5639" max="5639" width="11.5703125" customWidth="1"/>
    <col min="5640" max="5640" width="10.85546875" bestFit="1" customWidth="1"/>
    <col min="5643" max="5643" width="11.85546875" bestFit="1" customWidth="1"/>
    <col min="5644" max="5645" width="12.28515625" customWidth="1"/>
    <col min="5646" max="5646" width="11.5703125" customWidth="1"/>
    <col min="5647" max="5647" width="10.85546875" bestFit="1" customWidth="1"/>
    <col min="5862" max="5862" width="11" customWidth="1"/>
    <col min="5863" max="5863" width="10.85546875" customWidth="1"/>
    <col min="5864" max="5864" width="11.85546875" bestFit="1" customWidth="1"/>
    <col min="5865" max="5865" width="12" customWidth="1"/>
    <col min="5866" max="5866" width="12.28515625" customWidth="1"/>
    <col min="5867" max="5867" width="11.5703125" customWidth="1"/>
    <col min="5868" max="5868" width="12.5703125" customWidth="1"/>
    <col min="5869" max="5870" width="10.85546875" bestFit="1" customWidth="1"/>
    <col min="5871" max="5871" width="11.85546875" bestFit="1" customWidth="1"/>
    <col min="5872" max="5872" width="10.85546875" bestFit="1" customWidth="1"/>
    <col min="5873" max="5873" width="12.28515625" customWidth="1"/>
    <col min="5874" max="5874" width="11.5703125" customWidth="1"/>
    <col min="5875" max="5875" width="10.85546875" bestFit="1" customWidth="1"/>
    <col min="5878" max="5878" width="11.85546875" bestFit="1" customWidth="1"/>
    <col min="5879" max="5880" width="12.28515625" customWidth="1"/>
    <col min="5881" max="5881" width="11.5703125" customWidth="1"/>
    <col min="5882" max="5882" width="10.85546875" bestFit="1" customWidth="1"/>
    <col min="5885" max="5885" width="11.85546875" bestFit="1" customWidth="1"/>
    <col min="5886" max="5887" width="12.28515625" customWidth="1"/>
    <col min="5888" max="5888" width="11.5703125" customWidth="1"/>
    <col min="5889" max="5889" width="10.85546875" bestFit="1" customWidth="1"/>
    <col min="5892" max="5892" width="11.85546875" bestFit="1" customWidth="1"/>
    <col min="5893" max="5894" width="12.28515625" customWidth="1"/>
    <col min="5895" max="5895" width="11.5703125" customWidth="1"/>
    <col min="5896" max="5896" width="10.85546875" bestFit="1" customWidth="1"/>
    <col min="5899" max="5899" width="11.85546875" bestFit="1" customWidth="1"/>
    <col min="5900" max="5901" width="12.28515625" customWidth="1"/>
    <col min="5902" max="5902" width="11.5703125" customWidth="1"/>
    <col min="5903" max="5903" width="10.85546875" bestFit="1" customWidth="1"/>
    <col min="6118" max="6118" width="11" customWidth="1"/>
    <col min="6119" max="6119" width="10.85546875" customWidth="1"/>
    <col min="6120" max="6120" width="11.85546875" bestFit="1" customWidth="1"/>
    <col min="6121" max="6121" width="12" customWidth="1"/>
    <col min="6122" max="6122" width="12.28515625" customWidth="1"/>
    <col min="6123" max="6123" width="11.5703125" customWidth="1"/>
    <col min="6124" max="6124" width="12.5703125" customWidth="1"/>
    <col min="6125" max="6126" width="10.85546875" bestFit="1" customWidth="1"/>
    <col min="6127" max="6127" width="11.85546875" bestFit="1" customWidth="1"/>
    <col min="6128" max="6128" width="10.85546875" bestFit="1" customWidth="1"/>
    <col min="6129" max="6129" width="12.28515625" customWidth="1"/>
    <col min="6130" max="6130" width="11.5703125" customWidth="1"/>
    <col min="6131" max="6131" width="10.85546875" bestFit="1" customWidth="1"/>
    <col min="6134" max="6134" width="11.85546875" bestFit="1" customWidth="1"/>
    <col min="6135" max="6136" width="12.28515625" customWidth="1"/>
    <col min="6137" max="6137" width="11.5703125" customWidth="1"/>
    <col min="6138" max="6138" width="10.85546875" bestFit="1" customWidth="1"/>
    <col min="6141" max="6141" width="11.85546875" bestFit="1" customWidth="1"/>
    <col min="6142" max="6143" width="12.28515625" customWidth="1"/>
    <col min="6144" max="6144" width="11.5703125" customWidth="1"/>
    <col min="6145" max="6145" width="10.85546875" bestFit="1" customWidth="1"/>
    <col min="6148" max="6148" width="11.85546875" bestFit="1" customWidth="1"/>
    <col min="6149" max="6150" width="12.28515625" customWidth="1"/>
    <col min="6151" max="6151" width="11.5703125" customWidth="1"/>
    <col min="6152" max="6152" width="10.85546875" bestFit="1" customWidth="1"/>
    <col min="6155" max="6155" width="11.85546875" bestFit="1" customWidth="1"/>
    <col min="6156" max="6157" width="12.28515625" customWidth="1"/>
    <col min="6158" max="6158" width="11.5703125" customWidth="1"/>
    <col min="6159" max="6159" width="10.85546875" bestFit="1" customWidth="1"/>
    <col min="6374" max="6374" width="11" customWidth="1"/>
    <col min="6375" max="6375" width="10.85546875" customWidth="1"/>
    <col min="6376" max="6376" width="11.85546875" bestFit="1" customWidth="1"/>
    <col min="6377" max="6377" width="12" customWidth="1"/>
    <col min="6378" max="6378" width="12.28515625" customWidth="1"/>
    <col min="6379" max="6379" width="11.5703125" customWidth="1"/>
    <col min="6380" max="6380" width="12.5703125" customWidth="1"/>
    <col min="6381" max="6382" width="10.85546875" bestFit="1" customWidth="1"/>
    <col min="6383" max="6383" width="11.85546875" bestFit="1" customWidth="1"/>
    <col min="6384" max="6384" width="10.85546875" bestFit="1" customWidth="1"/>
    <col min="6385" max="6385" width="12.28515625" customWidth="1"/>
    <col min="6386" max="6386" width="11.5703125" customWidth="1"/>
    <col min="6387" max="6387" width="10.85546875" bestFit="1" customWidth="1"/>
    <col min="6390" max="6390" width="11.85546875" bestFit="1" customWidth="1"/>
    <col min="6391" max="6392" width="12.28515625" customWidth="1"/>
    <col min="6393" max="6393" width="11.5703125" customWidth="1"/>
    <col min="6394" max="6394" width="10.85546875" bestFit="1" customWidth="1"/>
    <col min="6397" max="6397" width="11.85546875" bestFit="1" customWidth="1"/>
    <col min="6398" max="6399" width="12.28515625" customWidth="1"/>
    <col min="6400" max="6400" width="11.5703125" customWidth="1"/>
    <col min="6401" max="6401" width="10.85546875" bestFit="1" customWidth="1"/>
    <col min="6404" max="6404" width="11.85546875" bestFit="1" customWidth="1"/>
    <col min="6405" max="6406" width="12.28515625" customWidth="1"/>
    <col min="6407" max="6407" width="11.5703125" customWidth="1"/>
    <col min="6408" max="6408" width="10.85546875" bestFit="1" customWidth="1"/>
    <col min="6411" max="6411" width="11.85546875" bestFit="1" customWidth="1"/>
    <col min="6412" max="6413" width="12.28515625" customWidth="1"/>
    <col min="6414" max="6414" width="11.5703125" customWidth="1"/>
    <col min="6415" max="6415" width="10.85546875" bestFit="1" customWidth="1"/>
    <col min="6630" max="6630" width="11" customWidth="1"/>
    <col min="6631" max="6631" width="10.85546875" customWidth="1"/>
    <col min="6632" max="6632" width="11.85546875" bestFit="1" customWidth="1"/>
    <col min="6633" max="6633" width="12" customWidth="1"/>
    <col min="6634" max="6634" width="12.28515625" customWidth="1"/>
    <col min="6635" max="6635" width="11.5703125" customWidth="1"/>
    <col min="6636" max="6636" width="12.5703125" customWidth="1"/>
    <col min="6637" max="6638" width="10.85546875" bestFit="1" customWidth="1"/>
    <col min="6639" max="6639" width="11.85546875" bestFit="1" customWidth="1"/>
    <col min="6640" max="6640" width="10.85546875" bestFit="1" customWidth="1"/>
    <col min="6641" max="6641" width="12.28515625" customWidth="1"/>
    <col min="6642" max="6642" width="11.5703125" customWidth="1"/>
    <col min="6643" max="6643" width="10.85546875" bestFit="1" customWidth="1"/>
    <col min="6646" max="6646" width="11.85546875" bestFit="1" customWidth="1"/>
    <col min="6647" max="6648" width="12.28515625" customWidth="1"/>
    <col min="6649" max="6649" width="11.5703125" customWidth="1"/>
    <col min="6650" max="6650" width="10.85546875" bestFit="1" customWidth="1"/>
    <col min="6653" max="6653" width="11.85546875" bestFit="1" customWidth="1"/>
    <col min="6654" max="6655" width="12.28515625" customWidth="1"/>
    <col min="6656" max="6656" width="11.5703125" customWidth="1"/>
    <col min="6657" max="6657" width="10.85546875" bestFit="1" customWidth="1"/>
    <col min="6660" max="6660" width="11.85546875" bestFit="1" customWidth="1"/>
    <col min="6661" max="6662" width="12.28515625" customWidth="1"/>
    <col min="6663" max="6663" width="11.5703125" customWidth="1"/>
    <col min="6664" max="6664" width="10.85546875" bestFit="1" customWidth="1"/>
    <col min="6667" max="6667" width="11.85546875" bestFit="1" customWidth="1"/>
    <col min="6668" max="6669" width="12.28515625" customWidth="1"/>
    <col min="6670" max="6670" width="11.5703125" customWidth="1"/>
    <col min="6671" max="6671" width="10.85546875" bestFit="1" customWidth="1"/>
    <col min="6886" max="6886" width="11" customWidth="1"/>
    <col min="6887" max="6887" width="10.85546875" customWidth="1"/>
    <col min="6888" max="6888" width="11.85546875" bestFit="1" customWidth="1"/>
    <col min="6889" max="6889" width="12" customWidth="1"/>
    <col min="6890" max="6890" width="12.28515625" customWidth="1"/>
    <col min="6891" max="6891" width="11.5703125" customWidth="1"/>
    <col min="6892" max="6892" width="12.5703125" customWidth="1"/>
    <col min="6893" max="6894" width="10.85546875" bestFit="1" customWidth="1"/>
    <col min="6895" max="6895" width="11.85546875" bestFit="1" customWidth="1"/>
    <col min="6896" max="6896" width="10.85546875" bestFit="1" customWidth="1"/>
    <col min="6897" max="6897" width="12.28515625" customWidth="1"/>
    <col min="6898" max="6898" width="11.5703125" customWidth="1"/>
    <col min="6899" max="6899" width="10.85546875" bestFit="1" customWidth="1"/>
    <col min="6902" max="6902" width="11.85546875" bestFit="1" customWidth="1"/>
    <col min="6903" max="6904" width="12.28515625" customWidth="1"/>
    <col min="6905" max="6905" width="11.5703125" customWidth="1"/>
    <col min="6906" max="6906" width="10.85546875" bestFit="1" customWidth="1"/>
    <col min="6909" max="6909" width="11.85546875" bestFit="1" customWidth="1"/>
    <col min="6910" max="6911" width="12.28515625" customWidth="1"/>
    <col min="6912" max="6912" width="11.5703125" customWidth="1"/>
    <col min="6913" max="6913" width="10.85546875" bestFit="1" customWidth="1"/>
    <col min="6916" max="6916" width="11.85546875" bestFit="1" customWidth="1"/>
    <col min="6917" max="6918" width="12.28515625" customWidth="1"/>
    <col min="6919" max="6919" width="11.5703125" customWidth="1"/>
    <col min="6920" max="6920" width="10.85546875" bestFit="1" customWidth="1"/>
    <col min="6923" max="6923" width="11.85546875" bestFit="1" customWidth="1"/>
    <col min="6924" max="6925" width="12.28515625" customWidth="1"/>
    <col min="6926" max="6926" width="11.5703125" customWidth="1"/>
    <col min="6927" max="6927" width="10.85546875" bestFit="1" customWidth="1"/>
    <col min="7142" max="7142" width="11" customWidth="1"/>
    <col min="7143" max="7143" width="10.85546875" customWidth="1"/>
    <col min="7144" max="7144" width="11.85546875" bestFit="1" customWidth="1"/>
    <col min="7145" max="7145" width="12" customWidth="1"/>
    <col min="7146" max="7146" width="12.28515625" customWidth="1"/>
    <col min="7147" max="7147" width="11.5703125" customWidth="1"/>
    <col min="7148" max="7148" width="12.5703125" customWidth="1"/>
    <col min="7149" max="7150" width="10.85546875" bestFit="1" customWidth="1"/>
    <col min="7151" max="7151" width="11.85546875" bestFit="1" customWidth="1"/>
    <col min="7152" max="7152" width="10.85546875" bestFit="1" customWidth="1"/>
    <col min="7153" max="7153" width="12.28515625" customWidth="1"/>
    <col min="7154" max="7154" width="11.5703125" customWidth="1"/>
    <col min="7155" max="7155" width="10.85546875" bestFit="1" customWidth="1"/>
    <col min="7158" max="7158" width="11.85546875" bestFit="1" customWidth="1"/>
    <col min="7159" max="7160" width="12.28515625" customWidth="1"/>
    <col min="7161" max="7161" width="11.5703125" customWidth="1"/>
    <col min="7162" max="7162" width="10.85546875" bestFit="1" customWidth="1"/>
    <col min="7165" max="7165" width="11.85546875" bestFit="1" customWidth="1"/>
    <col min="7166" max="7167" width="12.28515625" customWidth="1"/>
    <col min="7168" max="7168" width="11.5703125" customWidth="1"/>
    <col min="7169" max="7169" width="10.85546875" bestFit="1" customWidth="1"/>
    <col min="7172" max="7172" width="11.85546875" bestFit="1" customWidth="1"/>
    <col min="7173" max="7174" width="12.28515625" customWidth="1"/>
    <col min="7175" max="7175" width="11.5703125" customWidth="1"/>
    <col min="7176" max="7176" width="10.85546875" bestFit="1" customWidth="1"/>
    <col min="7179" max="7179" width="11.85546875" bestFit="1" customWidth="1"/>
    <col min="7180" max="7181" width="12.28515625" customWidth="1"/>
    <col min="7182" max="7182" width="11.5703125" customWidth="1"/>
    <col min="7183" max="7183" width="10.85546875" bestFit="1" customWidth="1"/>
    <col min="7398" max="7398" width="11" customWidth="1"/>
    <col min="7399" max="7399" width="10.85546875" customWidth="1"/>
    <col min="7400" max="7400" width="11.85546875" bestFit="1" customWidth="1"/>
    <col min="7401" max="7401" width="12" customWidth="1"/>
    <col min="7402" max="7402" width="12.28515625" customWidth="1"/>
    <col min="7403" max="7403" width="11.5703125" customWidth="1"/>
    <col min="7404" max="7404" width="12.5703125" customWidth="1"/>
    <col min="7405" max="7406" width="10.85546875" bestFit="1" customWidth="1"/>
    <col min="7407" max="7407" width="11.85546875" bestFit="1" customWidth="1"/>
    <col min="7408" max="7408" width="10.85546875" bestFit="1" customWidth="1"/>
    <col min="7409" max="7409" width="12.28515625" customWidth="1"/>
    <col min="7410" max="7410" width="11.5703125" customWidth="1"/>
    <col min="7411" max="7411" width="10.85546875" bestFit="1" customWidth="1"/>
    <col min="7414" max="7414" width="11.85546875" bestFit="1" customWidth="1"/>
    <col min="7415" max="7416" width="12.28515625" customWidth="1"/>
    <col min="7417" max="7417" width="11.5703125" customWidth="1"/>
    <col min="7418" max="7418" width="10.85546875" bestFit="1" customWidth="1"/>
    <col min="7421" max="7421" width="11.85546875" bestFit="1" customWidth="1"/>
    <col min="7422" max="7423" width="12.28515625" customWidth="1"/>
    <col min="7424" max="7424" width="11.5703125" customWidth="1"/>
    <col min="7425" max="7425" width="10.85546875" bestFit="1" customWidth="1"/>
    <col min="7428" max="7428" width="11.85546875" bestFit="1" customWidth="1"/>
    <col min="7429" max="7430" width="12.28515625" customWidth="1"/>
    <col min="7431" max="7431" width="11.5703125" customWidth="1"/>
    <col min="7432" max="7432" width="10.85546875" bestFit="1" customWidth="1"/>
    <col min="7435" max="7435" width="11.85546875" bestFit="1" customWidth="1"/>
    <col min="7436" max="7437" width="12.28515625" customWidth="1"/>
    <col min="7438" max="7438" width="11.5703125" customWidth="1"/>
    <col min="7439" max="7439" width="10.85546875" bestFit="1" customWidth="1"/>
    <col min="7654" max="7654" width="11" customWidth="1"/>
    <col min="7655" max="7655" width="10.85546875" customWidth="1"/>
    <col min="7656" max="7656" width="11.85546875" bestFit="1" customWidth="1"/>
    <col min="7657" max="7657" width="12" customWidth="1"/>
    <col min="7658" max="7658" width="12.28515625" customWidth="1"/>
    <col min="7659" max="7659" width="11.5703125" customWidth="1"/>
    <col min="7660" max="7660" width="12.5703125" customWidth="1"/>
    <col min="7661" max="7662" width="10.85546875" bestFit="1" customWidth="1"/>
    <col min="7663" max="7663" width="11.85546875" bestFit="1" customWidth="1"/>
    <col min="7664" max="7664" width="10.85546875" bestFit="1" customWidth="1"/>
    <col min="7665" max="7665" width="12.28515625" customWidth="1"/>
    <col min="7666" max="7666" width="11.5703125" customWidth="1"/>
    <col min="7667" max="7667" width="10.85546875" bestFit="1" customWidth="1"/>
    <col min="7670" max="7670" width="11.85546875" bestFit="1" customWidth="1"/>
    <col min="7671" max="7672" width="12.28515625" customWidth="1"/>
    <col min="7673" max="7673" width="11.5703125" customWidth="1"/>
    <col min="7674" max="7674" width="10.85546875" bestFit="1" customWidth="1"/>
    <col min="7677" max="7677" width="11.85546875" bestFit="1" customWidth="1"/>
    <col min="7678" max="7679" width="12.28515625" customWidth="1"/>
    <col min="7680" max="7680" width="11.5703125" customWidth="1"/>
    <col min="7681" max="7681" width="10.85546875" bestFit="1" customWidth="1"/>
    <col min="7684" max="7684" width="11.85546875" bestFit="1" customWidth="1"/>
    <col min="7685" max="7686" width="12.28515625" customWidth="1"/>
    <col min="7687" max="7687" width="11.5703125" customWidth="1"/>
    <col min="7688" max="7688" width="10.85546875" bestFit="1" customWidth="1"/>
    <col min="7691" max="7691" width="11.85546875" bestFit="1" customWidth="1"/>
    <col min="7692" max="7693" width="12.28515625" customWidth="1"/>
    <col min="7694" max="7694" width="11.5703125" customWidth="1"/>
    <col min="7695" max="7695" width="10.85546875" bestFit="1" customWidth="1"/>
    <col min="7910" max="7910" width="11" customWidth="1"/>
    <col min="7911" max="7911" width="10.85546875" customWidth="1"/>
    <col min="7912" max="7912" width="11.85546875" bestFit="1" customWidth="1"/>
    <col min="7913" max="7913" width="12" customWidth="1"/>
    <col min="7914" max="7914" width="12.28515625" customWidth="1"/>
    <col min="7915" max="7915" width="11.5703125" customWidth="1"/>
    <col min="7916" max="7916" width="12.5703125" customWidth="1"/>
    <col min="7917" max="7918" width="10.85546875" bestFit="1" customWidth="1"/>
    <col min="7919" max="7919" width="11.85546875" bestFit="1" customWidth="1"/>
    <col min="7920" max="7920" width="10.85546875" bestFit="1" customWidth="1"/>
    <col min="7921" max="7921" width="12.28515625" customWidth="1"/>
    <col min="7922" max="7922" width="11.5703125" customWidth="1"/>
    <col min="7923" max="7923" width="10.85546875" bestFit="1" customWidth="1"/>
    <col min="7926" max="7926" width="11.85546875" bestFit="1" customWidth="1"/>
    <col min="7927" max="7928" width="12.28515625" customWidth="1"/>
    <col min="7929" max="7929" width="11.5703125" customWidth="1"/>
    <col min="7930" max="7930" width="10.85546875" bestFit="1" customWidth="1"/>
    <col min="7933" max="7933" width="11.85546875" bestFit="1" customWidth="1"/>
    <col min="7934" max="7935" width="12.28515625" customWidth="1"/>
    <col min="7936" max="7936" width="11.5703125" customWidth="1"/>
    <col min="7937" max="7937" width="10.85546875" bestFit="1" customWidth="1"/>
    <col min="7940" max="7940" width="11.85546875" bestFit="1" customWidth="1"/>
    <col min="7941" max="7942" width="12.28515625" customWidth="1"/>
    <col min="7943" max="7943" width="11.5703125" customWidth="1"/>
    <col min="7944" max="7944" width="10.85546875" bestFit="1" customWidth="1"/>
    <col min="7947" max="7947" width="11.85546875" bestFit="1" customWidth="1"/>
    <col min="7948" max="7949" width="12.28515625" customWidth="1"/>
    <col min="7950" max="7950" width="11.5703125" customWidth="1"/>
    <col min="7951" max="7951" width="10.85546875" bestFit="1" customWidth="1"/>
    <col min="8166" max="8166" width="11" customWidth="1"/>
    <col min="8167" max="8167" width="10.85546875" customWidth="1"/>
    <col min="8168" max="8168" width="11.85546875" bestFit="1" customWidth="1"/>
    <col min="8169" max="8169" width="12" customWidth="1"/>
    <col min="8170" max="8170" width="12.28515625" customWidth="1"/>
    <col min="8171" max="8171" width="11.5703125" customWidth="1"/>
    <col min="8172" max="8172" width="12.5703125" customWidth="1"/>
    <col min="8173" max="8174" width="10.85546875" bestFit="1" customWidth="1"/>
    <col min="8175" max="8175" width="11.85546875" bestFit="1" customWidth="1"/>
    <col min="8176" max="8176" width="10.85546875" bestFit="1" customWidth="1"/>
    <col min="8177" max="8177" width="12.28515625" customWidth="1"/>
    <col min="8178" max="8178" width="11.5703125" customWidth="1"/>
    <col min="8179" max="8179" width="10.85546875" bestFit="1" customWidth="1"/>
    <col min="8182" max="8182" width="11.85546875" bestFit="1" customWidth="1"/>
    <col min="8183" max="8184" width="12.28515625" customWidth="1"/>
    <col min="8185" max="8185" width="11.5703125" customWidth="1"/>
    <col min="8186" max="8186" width="10.85546875" bestFit="1" customWidth="1"/>
    <col min="8189" max="8189" width="11.85546875" bestFit="1" customWidth="1"/>
    <col min="8190" max="8191" width="12.28515625" customWidth="1"/>
    <col min="8192" max="8192" width="11.5703125" customWidth="1"/>
    <col min="8193" max="8193" width="10.85546875" bestFit="1" customWidth="1"/>
    <col min="8196" max="8196" width="11.85546875" bestFit="1" customWidth="1"/>
    <col min="8197" max="8198" width="12.28515625" customWidth="1"/>
    <col min="8199" max="8199" width="11.5703125" customWidth="1"/>
    <col min="8200" max="8200" width="10.85546875" bestFit="1" customWidth="1"/>
    <col min="8203" max="8203" width="11.85546875" bestFit="1" customWidth="1"/>
    <col min="8204" max="8205" width="12.28515625" customWidth="1"/>
    <col min="8206" max="8206" width="11.5703125" customWidth="1"/>
    <col min="8207" max="8207" width="10.85546875" bestFit="1" customWidth="1"/>
    <col min="8422" max="8422" width="11" customWidth="1"/>
    <col min="8423" max="8423" width="10.85546875" customWidth="1"/>
    <col min="8424" max="8424" width="11.85546875" bestFit="1" customWidth="1"/>
    <col min="8425" max="8425" width="12" customWidth="1"/>
    <col min="8426" max="8426" width="12.28515625" customWidth="1"/>
    <col min="8427" max="8427" width="11.5703125" customWidth="1"/>
    <col min="8428" max="8428" width="12.5703125" customWidth="1"/>
    <col min="8429" max="8430" width="10.85546875" bestFit="1" customWidth="1"/>
    <col min="8431" max="8431" width="11.85546875" bestFit="1" customWidth="1"/>
    <col min="8432" max="8432" width="10.85546875" bestFit="1" customWidth="1"/>
    <col min="8433" max="8433" width="12.28515625" customWidth="1"/>
    <col min="8434" max="8434" width="11.5703125" customWidth="1"/>
    <col min="8435" max="8435" width="10.85546875" bestFit="1" customWidth="1"/>
    <col min="8438" max="8438" width="11.85546875" bestFit="1" customWidth="1"/>
    <col min="8439" max="8440" width="12.28515625" customWidth="1"/>
    <col min="8441" max="8441" width="11.5703125" customWidth="1"/>
    <col min="8442" max="8442" width="10.85546875" bestFit="1" customWidth="1"/>
    <col min="8445" max="8445" width="11.85546875" bestFit="1" customWidth="1"/>
    <col min="8446" max="8447" width="12.28515625" customWidth="1"/>
    <col min="8448" max="8448" width="11.5703125" customWidth="1"/>
    <col min="8449" max="8449" width="10.85546875" bestFit="1" customWidth="1"/>
    <col min="8452" max="8452" width="11.85546875" bestFit="1" customWidth="1"/>
    <col min="8453" max="8454" width="12.28515625" customWidth="1"/>
    <col min="8455" max="8455" width="11.5703125" customWidth="1"/>
    <col min="8456" max="8456" width="10.85546875" bestFit="1" customWidth="1"/>
    <col min="8459" max="8459" width="11.85546875" bestFit="1" customWidth="1"/>
    <col min="8460" max="8461" width="12.28515625" customWidth="1"/>
    <col min="8462" max="8462" width="11.5703125" customWidth="1"/>
    <col min="8463" max="8463" width="10.85546875" bestFit="1" customWidth="1"/>
    <col min="8678" max="8678" width="11" customWidth="1"/>
    <col min="8679" max="8679" width="10.85546875" customWidth="1"/>
    <col min="8680" max="8680" width="11.85546875" bestFit="1" customWidth="1"/>
    <col min="8681" max="8681" width="12" customWidth="1"/>
    <col min="8682" max="8682" width="12.28515625" customWidth="1"/>
    <col min="8683" max="8683" width="11.5703125" customWidth="1"/>
    <col min="8684" max="8684" width="12.5703125" customWidth="1"/>
    <col min="8685" max="8686" width="10.85546875" bestFit="1" customWidth="1"/>
    <col min="8687" max="8687" width="11.85546875" bestFit="1" customWidth="1"/>
    <col min="8688" max="8688" width="10.85546875" bestFit="1" customWidth="1"/>
    <col min="8689" max="8689" width="12.28515625" customWidth="1"/>
    <col min="8690" max="8690" width="11.5703125" customWidth="1"/>
    <col min="8691" max="8691" width="10.85546875" bestFit="1" customWidth="1"/>
    <col min="8694" max="8694" width="11.85546875" bestFit="1" customWidth="1"/>
    <col min="8695" max="8696" width="12.28515625" customWidth="1"/>
    <col min="8697" max="8697" width="11.5703125" customWidth="1"/>
    <col min="8698" max="8698" width="10.85546875" bestFit="1" customWidth="1"/>
    <col min="8701" max="8701" width="11.85546875" bestFit="1" customWidth="1"/>
    <col min="8702" max="8703" width="12.28515625" customWidth="1"/>
    <col min="8704" max="8704" width="11.5703125" customWidth="1"/>
    <col min="8705" max="8705" width="10.85546875" bestFit="1" customWidth="1"/>
    <col min="8708" max="8708" width="11.85546875" bestFit="1" customWidth="1"/>
    <col min="8709" max="8710" width="12.28515625" customWidth="1"/>
    <col min="8711" max="8711" width="11.5703125" customWidth="1"/>
    <col min="8712" max="8712" width="10.85546875" bestFit="1" customWidth="1"/>
    <col min="8715" max="8715" width="11.85546875" bestFit="1" customWidth="1"/>
    <col min="8716" max="8717" width="12.28515625" customWidth="1"/>
    <col min="8718" max="8718" width="11.5703125" customWidth="1"/>
    <col min="8719" max="8719" width="10.85546875" bestFit="1" customWidth="1"/>
    <col min="8934" max="8934" width="11" customWidth="1"/>
    <col min="8935" max="8935" width="10.85546875" customWidth="1"/>
    <col min="8936" max="8936" width="11.85546875" bestFit="1" customWidth="1"/>
    <col min="8937" max="8937" width="12" customWidth="1"/>
    <col min="8938" max="8938" width="12.28515625" customWidth="1"/>
    <col min="8939" max="8939" width="11.5703125" customWidth="1"/>
    <col min="8940" max="8940" width="12.5703125" customWidth="1"/>
    <col min="8941" max="8942" width="10.85546875" bestFit="1" customWidth="1"/>
    <col min="8943" max="8943" width="11.85546875" bestFit="1" customWidth="1"/>
    <col min="8944" max="8944" width="10.85546875" bestFit="1" customWidth="1"/>
    <col min="8945" max="8945" width="12.28515625" customWidth="1"/>
    <col min="8946" max="8946" width="11.5703125" customWidth="1"/>
    <col min="8947" max="8947" width="10.85546875" bestFit="1" customWidth="1"/>
    <col min="8950" max="8950" width="11.85546875" bestFit="1" customWidth="1"/>
    <col min="8951" max="8952" width="12.28515625" customWidth="1"/>
    <col min="8953" max="8953" width="11.5703125" customWidth="1"/>
    <col min="8954" max="8954" width="10.85546875" bestFit="1" customWidth="1"/>
    <col min="8957" max="8957" width="11.85546875" bestFit="1" customWidth="1"/>
    <col min="8958" max="8959" width="12.28515625" customWidth="1"/>
    <col min="8960" max="8960" width="11.5703125" customWidth="1"/>
    <col min="8961" max="8961" width="10.85546875" bestFit="1" customWidth="1"/>
    <col min="8964" max="8964" width="11.85546875" bestFit="1" customWidth="1"/>
    <col min="8965" max="8966" width="12.28515625" customWidth="1"/>
    <col min="8967" max="8967" width="11.5703125" customWidth="1"/>
    <col min="8968" max="8968" width="10.85546875" bestFit="1" customWidth="1"/>
    <col min="8971" max="8971" width="11.85546875" bestFit="1" customWidth="1"/>
    <col min="8972" max="8973" width="12.28515625" customWidth="1"/>
    <col min="8974" max="8974" width="11.5703125" customWidth="1"/>
    <col min="8975" max="8975" width="10.85546875" bestFit="1" customWidth="1"/>
    <col min="9190" max="9190" width="11" customWidth="1"/>
    <col min="9191" max="9191" width="10.85546875" customWidth="1"/>
    <col min="9192" max="9192" width="11.85546875" bestFit="1" customWidth="1"/>
    <col min="9193" max="9193" width="12" customWidth="1"/>
    <col min="9194" max="9194" width="12.28515625" customWidth="1"/>
    <col min="9195" max="9195" width="11.5703125" customWidth="1"/>
    <col min="9196" max="9196" width="12.5703125" customWidth="1"/>
    <col min="9197" max="9198" width="10.85546875" bestFit="1" customWidth="1"/>
    <col min="9199" max="9199" width="11.85546875" bestFit="1" customWidth="1"/>
    <col min="9200" max="9200" width="10.85546875" bestFit="1" customWidth="1"/>
    <col min="9201" max="9201" width="12.28515625" customWidth="1"/>
    <col min="9202" max="9202" width="11.5703125" customWidth="1"/>
    <col min="9203" max="9203" width="10.85546875" bestFit="1" customWidth="1"/>
    <col min="9206" max="9206" width="11.85546875" bestFit="1" customWidth="1"/>
    <col min="9207" max="9208" width="12.28515625" customWidth="1"/>
    <col min="9209" max="9209" width="11.5703125" customWidth="1"/>
    <col min="9210" max="9210" width="10.85546875" bestFit="1" customWidth="1"/>
    <col min="9213" max="9213" width="11.85546875" bestFit="1" customWidth="1"/>
    <col min="9214" max="9215" width="12.28515625" customWidth="1"/>
    <col min="9216" max="9216" width="11.5703125" customWidth="1"/>
    <col min="9217" max="9217" width="10.85546875" bestFit="1" customWidth="1"/>
    <col min="9220" max="9220" width="11.85546875" bestFit="1" customWidth="1"/>
    <col min="9221" max="9222" width="12.28515625" customWidth="1"/>
    <col min="9223" max="9223" width="11.5703125" customWidth="1"/>
    <col min="9224" max="9224" width="10.85546875" bestFit="1" customWidth="1"/>
    <col min="9227" max="9227" width="11.85546875" bestFit="1" customWidth="1"/>
    <col min="9228" max="9229" width="12.28515625" customWidth="1"/>
    <col min="9230" max="9230" width="11.5703125" customWidth="1"/>
    <col min="9231" max="9231" width="10.85546875" bestFit="1" customWidth="1"/>
    <col min="9446" max="9446" width="11" customWidth="1"/>
    <col min="9447" max="9447" width="10.85546875" customWidth="1"/>
    <col min="9448" max="9448" width="11.85546875" bestFit="1" customWidth="1"/>
    <col min="9449" max="9449" width="12" customWidth="1"/>
    <col min="9450" max="9450" width="12.28515625" customWidth="1"/>
    <col min="9451" max="9451" width="11.5703125" customWidth="1"/>
    <col min="9452" max="9452" width="12.5703125" customWidth="1"/>
    <col min="9453" max="9454" width="10.85546875" bestFit="1" customWidth="1"/>
    <col min="9455" max="9455" width="11.85546875" bestFit="1" customWidth="1"/>
    <col min="9456" max="9456" width="10.85546875" bestFit="1" customWidth="1"/>
    <col min="9457" max="9457" width="12.28515625" customWidth="1"/>
    <col min="9458" max="9458" width="11.5703125" customWidth="1"/>
    <col min="9459" max="9459" width="10.85546875" bestFit="1" customWidth="1"/>
    <col min="9462" max="9462" width="11.85546875" bestFit="1" customWidth="1"/>
    <col min="9463" max="9464" width="12.28515625" customWidth="1"/>
    <col min="9465" max="9465" width="11.5703125" customWidth="1"/>
    <col min="9466" max="9466" width="10.85546875" bestFit="1" customWidth="1"/>
    <col min="9469" max="9469" width="11.85546875" bestFit="1" customWidth="1"/>
    <col min="9470" max="9471" width="12.28515625" customWidth="1"/>
    <col min="9472" max="9472" width="11.5703125" customWidth="1"/>
    <col min="9473" max="9473" width="10.85546875" bestFit="1" customWidth="1"/>
    <col min="9476" max="9476" width="11.85546875" bestFit="1" customWidth="1"/>
    <col min="9477" max="9478" width="12.28515625" customWidth="1"/>
    <col min="9479" max="9479" width="11.5703125" customWidth="1"/>
    <col min="9480" max="9480" width="10.85546875" bestFit="1" customWidth="1"/>
    <col min="9483" max="9483" width="11.85546875" bestFit="1" customWidth="1"/>
    <col min="9484" max="9485" width="12.28515625" customWidth="1"/>
    <col min="9486" max="9486" width="11.5703125" customWidth="1"/>
    <col min="9487" max="9487" width="10.85546875" bestFit="1" customWidth="1"/>
    <col min="9702" max="9702" width="11" customWidth="1"/>
    <col min="9703" max="9703" width="10.85546875" customWidth="1"/>
    <col min="9704" max="9704" width="11.85546875" bestFit="1" customWidth="1"/>
    <col min="9705" max="9705" width="12" customWidth="1"/>
    <col min="9706" max="9706" width="12.28515625" customWidth="1"/>
    <col min="9707" max="9707" width="11.5703125" customWidth="1"/>
    <col min="9708" max="9708" width="12.5703125" customWidth="1"/>
    <col min="9709" max="9710" width="10.85546875" bestFit="1" customWidth="1"/>
    <col min="9711" max="9711" width="11.85546875" bestFit="1" customWidth="1"/>
    <col min="9712" max="9712" width="10.85546875" bestFit="1" customWidth="1"/>
    <col min="9713" max="9713" width="12.28515625" customWidth="1"/>
    <col min="9714" max="9714" width="11.5703125" customWidth="1"/>
    <col min="9715" max="9715" width="10.85546875" bestFit="1" customWidth="1"/>
    <col min="9718" max="9718" width="11.85546875" bestFit="1" customWidth="1"/>
    <col min="9719" max="9720" width="12.28515625" customWidth="1"/>
    <col min="9721" max="9721" width="11.5703125" customWidth="1"/>
    <col min="9722" max="9722" width="10.85546875" bestFit="1" customWidth="1"/>
    <col min="9725" max="9725" width="11.85546875" bestFit="1" customWidth="1"/>
    <col min="9726" max="9727" width="12.28515625" customWidth="1"/>
    <col min="9728" max="9728" width="11.5703125" customWidth="1"/>
    <col min="9729" max="9729" width="10.85546875" bestFit="1" customWidth="1"/>
    <col min="9732" max="9732" width="11.85546875" bestFit="1" customWidth="1"/>
    <col min="9733" max="9734" width="12.28515625" customWidth="1"/>
    <col min="9735" max="9735" width="11.5703125" customWidth="1"/>
    <col min="9736" max="9736" width="10.85546875" bestFit="1" customWidth="1"/>
    <col min="9739" max="9739" width="11.85546875" bestFit="1" customWidth="1"/>
    <col min="9740" max="9741" width="12.28515625" customWidth="1"/>
    <col min="9742" max="9742" width="11.5703125" customWidth="1"/>
    <col min="9743" max="9743" width="10.85546875" bestFit="1" customWidth="1"/>
    <col min="9958" max="9958" width="11" customWidth="1"/>
    <col min="9959" max="9959" width="10.85546875" customWidth="1"/>
    <col min="9960" max="9960" width="11.85546875" bestFit="1" customWidth="1"/>
    <col min="9961" max="9961" width="12" customWidth="1"/>
    <col min="9962" max="9962" width="12.28515625" customWidth="1"/>
    <col min="9963" max="9963" width="11.5703125" customWidth="1"/>
    <col min="9964" max="9964" width="12.5703125" customWidth="1"/>
    <col min="9965" max="9966" width="10.85546875" bestFit="1" customWidth="1"/>
    <col min="9967" max="9967" width="11.85546875" bestFit="1" customWidth="1"/>
    <col min="9968" max="9968" width="10.85546875" bestFit="1" customWidth="1"/>
    <col min="9969" max="9969" width="12.28515625" customWidth="1"/>
    <col min="9970" max="9970" width="11.5703125" customWidth="1"/>
    <col min="9971" max="9971" width="10.85546875" bestFit="1" customWidth="1"/>
    <col min="9974" max="9974" width="11.85546875" bestFit="1" customWidth="1"/>
    <col min="9975" max="9976" width="12.28515625" customWidth="1"/>
    <col min="9977" max="9977" width="11.5703125" customWidth="1"/>
    <col min="9978" max="9978" width="10.85546875" bestFit="1" customWidth="1"/>
    <col min="9981" max="9981" width="11.85546875" bestFit="1" customWidth="1"/>
    <col min="9982" max="9983" width="12.28515625" customWidth="1"/>
    <col min="9984" max="9984" width="11.5703125" customWidth="1"/>
    <col min="9985" max="9985" width="10.85546875" bestFit="1" customWidth="1"/>
    <col min="9988" max="9988" width="11.85546875" bestFit="1" customWidth="1"/>
    <col min="9989" max="9990" width="12.28515625" customWidth="1"/>
    <col min="9991" max="9991" width="11.5703125" customWidth="1"/>
    <col min="9992" max="9992" width="10.85546875" bestFit="1" customWidth="1"/>
    <col min="9995" max="9995" width="11.85546875" bestFit="1" customWidth="1"/>
    <col min="9996" max="9997" width="12.28515625" customWidth="1"/>
    <col min="9998" max="9998" width="11.5703125" customWidth="1"/>
    <col min="9999" max="9999" width="10.85546875" bestFit="1" customWidth="1"/>
    <col min="10214" max="10214" width="11" customWidth="1"/>
    <col min="10215" max="10215" width="10.85546875" customWidth="1"/>
    <col min="10216" max="10216" width="11.85546875" bestFit="1" customWidth="1"/>
    <col min="10217" max="10217" width="12" customWidth="1"/>
    <col min="10218" max="10218" width="12.28515625" customWidth="1"/>
    <col min="10219" max="10219" width="11.5703125" customWidth="1"/>
    <col min="10220" max="10220" width="12.5703125" customWidth="1"/>
    <col min="10221" max="10222" width="10.85546875" bestFit="1" customWidth="1"/>
    <col min="10223" max="10223" width="11.85546875" bestFit="1" customWidth="1"/>
    <col min="10224" max="10224" width="10.85546875" bestFit="1" customWidth="1"/>
    <col min="10225" max="10225" width="12.28515625" customWidth="1"/>
    <col min="10226" max="10226" width="11.5703125" customWidth="1"/>
    <col min="10227" max="10227" width="10.85546875" bestFit="1" customWidth="1"/>
    <col min="10230" max="10230" width="11.85546875" bestFit="1" customWidth="1"/>
    <col min="10231" max="10232" width="12.28515625" customWidth="1"/>
    <col min="10233" max="10233" width="11.5703125" customWidth="1"/>
    <col min="10234" max="10234" width="10.85546875" bestFit="1" customWidth="1"/>
    <col min="10237" max="10237" width="11.85546875" bestFit="1" customWidth="1"/>
    <col min="10238" max="10239" width="12.28515625" customWidth="1"/>
    <col min="10240" max="10240" width="11.5703125" customWidth="1"/>
    <col min="10241" max="10241" width="10.85546875" bestFit="1" customWidth="1"/>
    <col min="10244" max="10244" width="11.85546875" bestFit="1" customWidth="1"/>
    <col min="10245" max="10246" width="12.28515625" customWidth="1"/>
    <col min="10247" max="10247" width="11.5703125" customWidth="1"/>
    <col min="10248" max="10248" width="10.85546875" bestFit="1" customWidth="1"/>
    <col min="10251" max="10251" width="11.85546875" bestFit="1" customWidth="1"/>
    <col min="10252" max="10253" width="12.28515625" customWidth="1"/>
    <col min="10254" max="10254" width="11.5703125" customWidth="1"/>
    <col min="10255" max="10255" width="10.85546875" bestFit="1" customWidth="1"/>
    <col min="10470" max="10470" width="11" customWidth="1"/>
    <col min="10471" max="10471" width="10.85546875" customWidth="1"/>
    <col min="10472" max="10472" width="11.85546875" bestFit="1" customWidth="1"/>
    <col min="10473" max="10473" width="12" customWidth="1"/>
    <col min="10474" max="10474" width="12.28515625" customWidth="1"/>
    <col min="10475" max="10475" width="11.5703125" customWidth="1"/>
    <col min="10476" max="10476" width="12.5703125" customWidth="1"/>
    <col min="10477" max="10478" width="10.85546875" bestFit="1" customWidth="1"/>
    <col min="10479" max="10479" width="11.85546875" bestFit="1" customWidth="1"/>
    <col min="10480" max="10480" width="10.85546875" bestFit="1" customWidth="1"/>
    <col min="10481" max="10481" width="12.28515625" customWidth="1"/>
    <col min="10482" max="10482" width="11.5703125" customWidth="1"/>
    <col min="10483" max="10483" width="10.85546875" bestFit="1" customWidth="1"/>
    <col min="10486" max="10486" width="11.85546875" bestFit="1" customWidth="1"/>
    <col min="10487" max="10488" width="12.28515625" customWidth="1"/>
    <col min="10489" max="10489" width="11.5703125" customWidth="1"/>
    <col min="10490" max="10490" width="10.85546875" bestFit="1" customWidth="1"/>
    <col min="10493" max="10493" width="11.85546875" bestFit="1" customWidth="1"/>
    <col min="10494" max="10495" width="12.28515625" customWidth="1"/>
    <col min="10496" max="10496" width="11.5703125" customWidth="1"/>
    <col min="10497" max="10497" width="10.85546875" bestFit="1" customWidth="1"/>
    <col min="10500" max="10500" width="11.85546875" bestFit="1" customWidth="1"/>
    <col min="10501" max="10502" width="12.28515625" customWidth="1"/>
    <col min="10503" max="10503" width="11.5703125" customWidth="1"/>
    <col min="10504" max="10504" width="10.85546875" bestFit="1" customWidth="1"/>
    <col min="10507" max="10507" width="11.85546875" bestFit="1" customWidth="1"/>
    <col min="10508" max="10509" width="12.28515625" customWidth="1"/>
    <col min="10510" max="10510" width="11.5703125" customWidth="1"/>
    <col min="10511" max="10511" width="10.85546875" bestFit="1" customWidth="1"/>
    <col min="10726" max="10726" width="11" customWidth="1"/>
    <col min="10727" max="10727" width="10.85546875" customWidth="1"/>
    <col min="10728" max="10728" width="11.85546875" bestFit="1" customWidth="1"/>
    <col min="10729" max="10729" width="12" customWidth="1"/>
    <col min="10730" max="10730" width="12.28515625" customWidth="1"/>
    <col min="10731" max="10731" width="11.5703125" customWidth="1"/>
    <col min="10732" max="10732" width="12.5703125" customWidth="1"/>
    <col min="10733" max="10734" width="10.85546875" bestFit="1" customWidth="1"/>
    <col min="10735" max="10735" width="11.85546875" bestFit="1" customWidth="1"/>
    <col min="10736" max="10736" width="10.85546875" bestFit="1" customWidth="1"/>
    <col min="10737" max="10737" width="12.28515625" customWidth="1"/>
    <col min="10738" max="10738" width="11.5703125" customWidth="1"/>
    <col min="10739" max="10739" width="10.85546875" bestFit="1" customWidth="1"/>
    <col min="10742" max="10742" width="11.85546875" bestFit="1" customWidth="1"/>
    <col min="10743" max="10744" width="12.28515625" customWidth="1"/>
    <col min="10745" max="10745" width="11.5703125" customWidth="1"/>
    <col min="10746" max="10746" width="10.85546875" bestFit="1" customWidth="1"/>
    <col min="10749" max="10749" width="11.85546875" bestFit="1" customWidth="1"/>
    <col min="10750" max="10751" width="12.28515625" customWidth="1"/>
    <col min="10752" max="10752" width="11.5703125" customWidth="1"/>
    <col min="10753" max="10753" width="10.85546875" bestFit="1" customWidth="1"/>
    <col min="10756" max="10756" width="11.85546875" bestFit="1" customWidth="1"/>
    <col min="10757" max="10758" width="12.28515625" customWidth="1"/>
    <col min="10759" max="10759" width="11.5703125" customWidth="1"/>
    <col min="10760" max="10760" width="10.85546875" bestFit="1" customWidth="1"/>
    <col min="10763" max="10763" width="11.85546875" bestFit="1" customWidth="1"/>
    <col min="10764" max="10765" width="12.28515625" customWidth="1"/>
    <col min="10766" max="10766" width="11.5703125" customWidth="1"/>
    <col min="10767" max="10767" width="10.85546875" bestFit="1" customWidth="1"/>
    <col min="10982" max="10982" width="11" customWidth="1"/>
    <col min="10983" max="10983" width="10.85546875" customWidth="1"/>
    <col min="10984" max="10984" width="11.85546875" bestFit="1" customWidth="1"/>
    <col min="10985" max="10985" width="12" customWidth="1"/>
    <col min="10986" max="10986" width="12.28515625" customWidth="1"/>
    <col min="10987" max="10987" width="11.5703125" customWidth="1"/>
    <col min="10988" max="10988" width="12.5703125" customWidth="1"/>
    <col min="10989" max="10990" width="10.85546875" bestFit="1" customWidth="1"/>
    <col min="10991" max="10991" width="11.85546875" bestFit="1" customWidth="1"/>
    <col min="10992" max="10992" width="10.85546875" bestFit="1" customWidth="1"/>
    <col min="10993" max="10993" width="12.28515625" customWidth="1"/>
    <col min="10994" max="10994" width="11.5703125" customWidth="1"/>
    <col min="10995" max="10995" width="10.85546875" bestFit="1" customWidth="1"/>
    <col min="10998" max="10998" width="11.85546875" bestFit="1" customWidth="1"/>
    <col min="10999" max="11000" width="12.28515625" customWidth="1"/>
    <col min="11001" max="11001" width="11.5703125" customWidth="1"/>
    <col min="11002" max="11002" width="10.85546875" bestFit="1" customWidth="1"/>
    <col min="11005" max="11005" width="11.85546875" bestFit="1" customWidth="1"/>
    <col min="11006" max="11007" width="12.28515625" customWidth="1"/>
    <col min="11008" max="11008" width="11.5703125" customWidth="1"/>
    <col min="11009" max="11009" width="10.85546875" bestFit="1" customWidth="1"/>
    <col min="11012" max="11012" width="11.85546875" bestFit="1" customWidth="1"/>
    <col min="11013" max="11014" width="12.28515625" customWidth="1"/>
    <col min="11015" max="11015" width="11.5703125" customWidth="1"/>
    <col min="11016" max="11016" width="10.85546875" bestFit="1" customWidth="1"/>
    <col min="11019" max="11019" width="11.85546875" bestFit="1" customWidth="1"/>
    <col min="11020" max="11021" width="12.28515625" customWidth="1"/>
    <col min="11022" max="11022" width="11.5703125" customWidth="1"/>
    <col min="11023" max="11023" width="10.85546875" bestFit="1" customWidth="1"/>
    <col min="11238" max="11238" width="11" customWidth="1"/>
    <col min="11239" max="11239" width="10.85546875" customWidth="1"/>
    <col min="11240" max="11240" width="11.85546875" bestFit="1" customWidth="1"/>
    <col min="11241" max="11241" width="12" customWidth="1"/>
    <col min="11242" max="11242" width="12.28515625" customWidth="1"/>
    <col min="11243" max="11243" width="11.5703125" customWidth="1"/>
    <col min="11244" max="11244" width="12.5703125" customWidth="1"/>
    <col min="11245" max="11246" width="10.85546875" bestFit="1" customWidth="1"/>
    <col min="11247" max="11247" width="11.85546875" bestFit="1" customWidth="1"/>
    <col min="11248" max="11248" width="10.85546875" bestFit="1" customWidth="1"/>
    <col min="11249" max="11249" width="12.28515625" customWidth="1"/>
    <col min="11250" max="11250" width="11.5703125" customWidth="1"/>
    <col min="11251" max="11251" width="10.85546875" bestFit="1" customWidth="1"/>
    <col min="11254" max="11254" width="11.85546875" bestFit="1" customWidth="1"/>
    <col min="11255" max="11256" width="12.28515625" customWidth="1"/>
    <col min="11257" max="11257" width="11.5703125" customWidth="1"/>
    <col min="11258" max="11258" width="10.85546875" bestFit="1" customWidth="1"/>
    <col min="11261" max="11261" width="11.85546875" bestFit="1" customWidth="1"/>
    <col min="11262" max="11263" width="12.28515625" customWidth="1"/>
    <col min="11264" max="11264" width="11.5703125" customWidth="1"/>
    <col min="11265" max="11265" width="10.85546875" bestFit="1" customWidth="1"/>
    <col min="11268" max="11268" width="11.85546875" bestFit="1" customWidth="1"/>
    <col min="11269" max="11270" width="12.28515625" customWidth="1"/>
    <col min="11271" max="11271" width="11.5703125" customWidth="1"/>
    <col min="11272" max="11272" width="10.85546875" bestFit="1" customWidth="1"/>
    <col min="11275" max="11275" width="11.85546875" bestFit="1" customWidth="1"/>
    <col min="11276" max="11277" width="12.28515625" customWidth="1"/>
    <col min="11278" max="11278" width="11.5703125" customWidth="1"/>
    <col min="11279" max="11279" width="10.85546875" bestFit="1" customWidth="1"/>
    <col min="11494" max="11494" width="11" customWidth="1"/>
    <col min="11495" max="11495" width="10.85546875" customWidth="1"/>
    <col min="11496" max="11496" width="11.85546875" bestFit="1" customWidth="1"/>
    <col min="11497" max="11497" width="12" customWidth="1"/>
    <col min="11498" max="11498" width="12.28515625" customWidth="1"/>
    <col min="11499" max="11499" width="11.5703125" customWidth="1"/>
    <col min="11500" max="11500" width="12.5703125" customWidth="1"/>
    <col min="11501" max="11502" width="10.85546875" bestFit="1" customWidth="1"/>
    <col min="11503" max="11503" width="11.85546875" bestFit="1" customWidth="1"/>
    <col min="11504" max="11504" width="10.85546875" bestFit="1" customWidth="1"/>
    <col min="11505" max="11505" width="12.28515625" customWidth="1"/>
    <col min="11506" max="11506" width="11.5703125" customWidth="1"/>
    <col min="11507" max="11507" width="10.85546875" bestFit="1" customWidth="1"/>
    <col min="11510" max="11510" width="11.85546875" bestFit="1" customWidth="1"/>
    <col min="11511" max="11512" width="12.28515625" customWidth="1"/>
    <col min="11513" max="11513" width="11.5703125" customWidth="1"/>
    <col min="11514" max="11514" width="10.85546875" bestFit="1" customWidth="1"/>
    <col min="11517" max="11517" width="11.85546875" bestFit="1" customWidth="1"/>
    <col min="11518" max="11519" width="12.28515625" customWidth="1"/>
    <col min="11520" max="11520" width="11.5703125" customWidth="1"/>
    <col min="11521" max="11521" width="10.85546875" bestFit="1" customWidth="1"/>
    <col min="11524" max="11524" width="11.85546875" bestFit="1" customWidth="1"/>
    <col min="11525" max="11526" width="12.28515625" customWidth="1"/>
    <col min="11527" max="11527" width="11.5703125" customWidth="1"/>
    <col min="11528" max="11528" width="10.85546875" bestFit="1" customWidth="1"/>
    <col min="11531" max="11531" width="11.85546875" bestFit="1" customWidth="1"/>
    <col min="11532" max="11533" width="12.28515625" customWidth="1"/>
    <col min="11534" max="11534" width="11.5703125" customWidth="1"/>
    <col min="11535" max="11535" width="10.85546875" bestFit="1" customWidth="1"/>
    <col min="11750" max="11750" width="11" customWidth="1"/>
    <col min="11751" max="11751" width="10.85546875" customWidth="1"/>
    <col min="11752" max="11752" width="11.85546875" bestFit="1" customWidth="1"/>
    <col min="11753" max="11753" width="12" customWidth="1"/>
    <col min="11754" max="11754" width="12.28515625" customWidth="1"/>
    <col min="11755" max="11755" width="11.5703125" customWidth="1"/>
    <col min="11756" max="11756" width="12.5703125" customWidth="1"/>
    <col min="11757" max="11758" width="10.85546875" bestFit="1" customWidth="1"/>
    <col min="11759" max="11759" width="11.85546875" bestFit="1" customWidth="1"/>
    <col min="11760" max="11760" width="10.85546875" bestFit="1" customWidth="1"/>
    <col min="11761" max="11761" width="12.28515625" customWidth="1"/>
    <col min="11762" max="11762" width="11.5703125" customWidth="1"/>
    <col min="11763" max="11763" width="10.85546875" bestFit="1" customWidth="1"/>
    <col min="11766" max="11766" width="11.85546875" bestFit="1" customWidth="1"/>
    <col min="11767" max="11768" width="12.28515625" customWidth="1"/>
    <col min="11769" max="11769" width="11.5703125" customWidth="1"/>
    <col min="11770" max="11770" width="10.85546875" bestFit="1" customWidth="1"/>
    <col min="11773" max="11773" width="11.85546875" bestFit="1" customWidth="1"/>
    <col min="11774" max="11775" width="12.28515625" customWidth="1"/>
    <col min="11776" max="11776" width="11.5703125" customWidth="1"/>
    <col min="11777" max="11777" width="10.85546875" bestFit="1" customWidth="1"/>
    <col min="11780" max="11780" width="11.85546875" bestFit="1" customWidth="1"/>
    <col min="11781" max="11782" width="12.28515625" customWidth="1"/>
    <col min="11783" max="11783" width="11.5703125" customWidth="1"/>
    <col min="11784" max="11784" width="10.85546875" bestFit="1" customWidth="1"/>
    <col min="11787" max="11787" width="11.85546875" bestFit="1" customWidth="1"/>
    <col min="11788" max="11789" width="12.28515625" customWidth="1"/>
    <col min="11790" max="11790" width="11.5703125" customWidth="1"/>
    <col min="11791" max="11791" width="10.85546875" bestFit="1" customWidth="1"/>
    <col min="12006" max="12006" width="11" customWidth="1"/>
    <col min="12007" max="12007" width="10.85546875" customWidth="1"/>
    <col min="12008" max="12008" width="11.85546875" bestFit="1" customWidth="1"/>
    <col min="12009" max="12009" width="12" customWidth="1"/>
    <col min="12010" max="12010" width="12.28515625" customWidth="1"/>
    <col min="12011" max="12011" width="11.5703125" customWidth="1"/>
    <col min="12012" max="12012" width="12.5703125" customWidth="1"/>
    <col min="12013" max="12014" width="10.85546875" bestFit="1" customWidth="1"/>
    <col min="12015" max="12015" width="11.85546875" bestFit="1" customWidth="1"/>
    <col min="12016" max="12016" width="10.85546875" bestFit="1" customWidth="1"/>
    <col min="12017" max="12017" width="12.28515625" customWidth="1"/>
    <col min="12018" max="12018" width="11.5703125" customWidth="1"/>
    <col min="12019" max="12019" width="10.85546875" bestFit="1" customWidth="1"/>
    <col min="12022" max="12022" width="11.85546875" bestFit="1" customWidth="1"/>
    <col min="12023" max="12024" width="12.28515625" customWidth="1"/>
    <col min="12025" max="12025" width="11.5703125" customWidth="1"/>
    <col min="12026" max="12026" width="10.85546875" bestFit="1" customWidth="1"/>
    <col min="12029" max="12029" width="11.85546875" bestFit="1" customWidth="1"/>
    <col min="12030" max="12031" width="12.28515625" customWidth="1"/>
    <col min="12032" max="12032" width="11.5703125" customWidth="1"/>
    <col min="12033" max="12033" width="10.85546875" bestFit="1" customWidth="1"/>
    <col min="12036" max="12036" width="11.85546875" bestFit="1" customWidth="1"/>
    <col min="12037" max="12038" width="12.28515625" customWidth="1"/>
    <col min="12039" max="12039" width="11.5703125" customWidth="1"/>
    <col min="12040" max="12040" width="10.85546875" bestFit="1" customWidth="1"/>
    <col min="12043" max="12043" width="11.85546875" bestFit="1" customWidth="1"/>
    <col min="12044" max="12045" width="12.28515625" customWidth="1"/>
    <col min="12046" max="12046" width="11.5703125" customWidth="1"/>
    <col min="12047" max="12047" width="10.85546875" bestFit="1" customWidth="1"/>
    <col min="12262" max="12262" width="11" customWidth="1"/>
    <col min="12263" max="12263" width="10.85546875" customWidth="1"/>
    <col min="12264" max="12264" width="11.85546875" bestFit="1" customWidth="1"/>
    <col min="12265" max="12265" width="12" customWidth="1"/>
    <col min="12266" max="12266" width="12.28515625" customWidth="1"/>
    <col min="12267" max="12267" width="11.5703125" customWidth="1"/>
    <col min="12268" max="12268" width="12.5703125" customWidth="1"/>
    <col min="12269" max="12270" width="10.85546875" bestFit="1" customWidth="1"/>
    <col min="12271" max="12271" width="11.85546875" bestFit="1" customWidth="1"/>
    <col min="12272" max="12272" width="10.85546875" bestFit="1" customWidth="1"/>
    <col min="12273" max="12273" width="12.28515625" customWidth="1"/>
    <col min="12274" max="12274" width="11.5703125" customWidth="1"/>
    <col min="12275" max="12275" width="10.85546875" bestFit="1" customWidth="1"/>
    <col min="12278" max="12278" width="11.85546875" bestFit="1" customWidth="1"/>
    <col min="12279" max="12280" width="12.28515625" customWidth="1"/>
    <col min="12281" max="12281" width="11.5703125" customWidth="1"/>
    <col min="12282" max="12282" width="10.85546875" bestFit="1" customWidth="1"/>
    <col min="12285" max="12285" width="11.85546875" bestFit="1" customWidth="1"/>
    <col min="12286" max="12287" width="12.28515625" customWidth="1"/>
    <col min="12288" max="12288" width="11.5703125" customWidth="1"/>
    <col min="12289" max="12289" width="10.85546875" bestFit="1" customWidth="1"/>
    <col min="12292" max="12292" width="11.85546875" bestFit="1" customWidth="1"/>
    <col min="12293" max="12294" width="12.28515625" customWidth="1"/>
    <col min="12295" max="12295" width="11.5703125" customWidth="1"/>
    <col min="12296" max="12296" width="10.85546875" bestFit="1" customWidth="1"/>
    <col min="12299" max="12299" width="11.85546875" bestFit="1" customWidth="1"/>
    <col min="12300" max="12301" width="12.28515625" customWidth="1"/>
    <col min="12302" max="12302" width="11.5703125" customWidth="1"/>
    <col min="12303" max="12303" width="10.85546875" bestFit="1" customWidth="1"/>
    <col min="12518" max="12518" width="11" customWidth="1"/>
    <col min="12519" max="12519" width="10.85546875" customWidth="1"/>
    <col min="12520" max="12520" width="11.85546875" bestFit="1" customWidth="1"/>
    <col min="12521" max="12521" width="12" customWidth="1"/>
    <col min="12522" max="12522" width="12.28515625" customWidth="1"/>
    <col min="12523" max="12523" width="11.5703125" customWidth="1"/>
    <col min="12524" max="12524" width="12.5703125" customWidth="1"/>
    <col min="12525" max="12526" width="10.85546875" bestFit="1" customWidth="1"/>
    <col min="12527" max="12527" width="11.85546875" bestFit="1" customWidth="1"/>
    <col min="12528" max="12528" width="10.85546875" bestFit="1" customWidth="1"/>
    <col min="12529" max="12529" width="12.28515625" customWidth="1"/>
    <col min="12530" max="12530" width="11.5703125" customWidth="1"/>
    <col min="12531" max="12531" width="10.85546875" bestFit="1" customWidth="1"/>
    <col min="12534" max="12534" width="11.85546875" bestFit="1" customWidth="1"/>
    <col min="12535" max="12536" width="12.28515625" customWidth="1"/>
    <col min="12537" max="12537" width="11.5703125" customWidth="1"/>
    <col min="12538" max="12538" width="10.85546875" bestFit="1" customWidth="1"/>
    <col min="12541" max="12541" width="11.85546875" bestFit="1" customWidth="1"/>
    <col min="12542" max="12543" width="12.28515625" customWidth="1"/>
    <col min="12544" max="12544" width="11.5703125" customWidth="1"/>
    <col min="12545" max="12545" width="10.85546875" bestFit="1" customWidth="1"/>
    <col min="12548" max="12548" width="11.85546875" bestFit="1" customWidth="1"/>
    <col min="12549" max="12550" width="12.28515625" customWidth="1"/>
    <col min="12551" max="12551" width="11.5703125" customWidth="1"/>
    <col min="12552" max="12552" width="10.85546875" bestFit="1" customWidth="1"/>
    <col min="12555" max="12555" width="11.85546875" bestFit="1" customWidth="1"/>
    <col min="12556" max="12557" width="12.28515625" customWidth="1"/>
    <col min="12558" max="12558" width="11.5703125" customWidth="1"/>
    <col min="12559" max="12559" width="10.85546875" bestFit="1" customWidth="1"/>
    <col min="12774" max="12774" width="11" customWidth="1"/>
    <col min="12775" max="12775" width="10.85546875" customWidth="1"/>
    <col min="12776" max="12776" width="11.85546875" bestFit="1" customWidth="1"/>
    <col min="12777" max="12777" width="12" customWidth="1"/>
    <col min="12778" max="12778" width="12.28515625" customWidth="1"/>
    <col min="12779" max="12779" width="11.5703125" customWidth="1"/>
    <col min="12780" max="12780" width="12.5703125" customWidth="1"/>
    <col min="12781" max="12782" width="10.85546875" bestFit="1" customWidth="1"/>
    <col min="12783" max="12783" width="11.85546875" bestFit="1" customWidth="1"/>
    <col min="12784" max="12784" width="10.85546875" bestFit="1" customWidth="1"/>
    <col min="12785" max="12785" width="12.28515625" customWidth="1"/>
    <col min="12786" max="12786" width="11.5703125" customWidth="1"/>
    <col min="12787" max="12787" width="10.85546875" bestFit="1" customWidth="1"/>
    <col min="12790" max="12790" width="11.85546875" bestFit="1" customWidth="1"/>
    <col min="12791" max="12792" width="12.28515625" customWidth="1"/>
    <col min="12793" max="12793" width="11.5703125" customWidth="1"/>
    <col min="12794" max="12794" width="10.85546875" bestFit="1" customWidth="1"/>
    <col min="12797" max="12797" width="11.85546875" bestFit="1" customWidth="1"/>
    <col min="12798" max="12799" width="12.28515625" customWidth="1"/>
    <col min="12800" max="12800" width="11.5703125" customWidth="1"/>
    <col min="12801" max="12801" width="10.85546875" bestFit="1" customWidth="1"/>
    <col min="12804" max="12804" width="11.85546875" bestFit="1" customWidth="1"/>
    <col min="12805" max="12806" width="12.28515625" customWidth="1"/>
    <col min="12807" max="12807" width="11.5703125" customWidth="1"/>
    <col min="12808" max="12808" width="10.85546875" bestFit="1" customWidth="1"/>
    <col min="12811" max="12811" width="11.85546875" bestFit="1" customWidth="1"/>
    <col min="12812" max="12813" width="12.28515625" customWidth="1"/>
    <col min="12814" max="12814" width="11.5703125" customWidth="1"/>
    <col min="12815" max="12815" width="10.85546875" bestFit="1" customWidth="1"/>
    <col min="13030" max="13030" width="11" customWidth="1"/>
    <col min="13031" max="13031" width="10.85546875" customWidth="1"/>
    <col min="13032" max="13032" width="11.85546875" bestFit="1" customWidth="1"/>
    <col min="13033" max="13033" width="12" customWidth="1"/>
    <col min="13034" max="13034" width="12.28515625" customWidth="1"/>
    <col min="13035" max="13035" width="11.5703125" customWidth="1"/>
    <col min="13036" max="13036" width="12.5703125" customWidth="1"/>
    <col min="13037" max="13038" width="10.85546875" bestFit="1" customWidth="1"/>
    <col min="13039" max="13039" width="11.85546875" bestFit="1" customWidth="1"/>
    <col min="13040" max="13040" width="10.85546875" bestFit="1" customWidth="1"/>
    <col min="13041" max="13041" width="12.28515625" customWidth="1"/>
    <col min="13042" max="13042" width="11.5703125" customWidth="1"/>
    <col min="13043" max="13043" width="10.85546875" bestFit="1" customWidth="1"/>
    <col min="13046" max="13046" width="11.85546875" bestFit="1" customWidth="1"/>
    <col min="13047" max="13048" width="12.28515625" customWidth="1"/>
    <col min="13049" max="13049" width="11.5703125" customWidth="1"/>
    <col min="13050" max="13050" width="10.85546875" bestFit="1" customWidth="1"/>
    <col min="13053" max="13053" width="11.85546875" bestFit="1" customWidth="1"/>
    <col min="13054" max="13055" width="12.28515625" customWidth="1"/>
    <col min="13056" max="13056" width="11.5703125" customWidth="1"/>
    <col min="13057" max="13057" width="10.85546875" bestFit="1" customWidth="1"/>
    <col min="13060" max="13060" width="11.85546875" bestFit="1" customWidth="1"/>
    <col min="13061" max="13062" width="12.28515625" customWidth="1"/>
    <col min="13063" max="13063" width="11.5703125" customWidth="1"/>
    <col min="13064" max="13064" width="10.85546875" bestFit="1" customWidth="1"/>
    <col min="13067" max="13067" width="11.85546875" bestFit="1" customWidth="1"/>
    <col min="13068" max="13069" width="12.28515625" customWidth="1"/>
    <col min="13070" max="13070" width="11.5703125" customWidth="1"/>
    <col min="13071" max="13071" width="10.85546875" bestFit="1" customWidth="1"/>
    <col min="13286" max="13286" width="11" customWidth="1"/>
    <col min="13287" max="13287" width="10.85546875" customWidth="1"/>
    <col min="13288" max="13288" width="11.85546875" bestFit="1" customWidth="1"/>
    <col min="13289" max="13289" width="12" customWidth="1"/>
    <col min="13290" max="13290" width="12.28515625" customWidth="1"/>
    <col min="13291" max="13291" width="11.5703125" customWidth="1"/>
    <col min="13292" max="13292" width="12.5703125" customWidth="1"/>
    <col min="13293" max="13294" width="10.85546875" bestFit="1" customWidth="1"/>
    <col min="13295" max="13295" width="11.85546875" bestFit="1" customWidth="1"/>
    <col min="13296" max="13296" width="10.85546875" bestFit="1" customWidth="1"/>
    <col min="13297" max="13297" width="12.28515625" customWidth="1"/>
    <col min="13298" max="13298" width="11.5703125" customWidth="1"/>
    <col min="13299" max="13299" width="10.85546875" bestFit="1" customWidth="1"/>
    <col min="13302" max="13302" width="11.85546875" bestFit="1" customWidth="1"/>
    <col min="13303" max="13304" width="12.28515625" customWidth="1"/>
    <col min="13305" max="13305" width="11.5703125" customWidth="1"/>
    <col min="13306" max="13306" width="10.85546875" bestFit="1" customWidth="1"/>
    <col min="13309" max="13309" width="11.85546875" bestFit="1" customWidth="1"/>
    <col min="13310" max="13311" width="12.28515625" customWidth="1"/>
    <col min="13312" max="13312" width="11.5703125" customWidth="1"/>
    <col min="13313" max="13313" width="10.85546875" bestFit="1" customWidth="1"/>
    <col min="13316" max="13316" width="11.85546875" bestFit="1" customWidth="1"/>
    <col min="13317" max="13318" width="12.28515625" customWidth="1"/>
    <col min="13319" max="13319" width="11.5703125" customWidth="1"/>
    <col min="13320" max="13320" width="10.85546875" bestFit="1" customWidth="1"/>
    <col min="13323" max="13323" width="11.85546875" bestFit="1" customWidth="1"/>
    <col min="13324" max="13325" width="12.28515625" customWidth="1"/>
    <col min="13326" max="13326" width="11.5703125" customWidth="1"/>
    <col min="13327" max="13327" width="10.85546875" bestFit="1" customWidth="1"/>
    <col min="13542" max="13542" width="11" customWidth="1"/>
    <col min="13543" max="13543" width="10.85546875" customWidth="1"/>
    <col min="13544" max="13544" width="11.85546875" bestFit="1" customWidth="1"/>
    <col min="13545" max="13545" width="12" customWidth="1"/>
    <col min="13546" max="13546" width="12.28515625" customWidth="1"/>
    <col min="13547" max="13547" width="11.5703125" customWidth="1"/>
    <col min="13548" max="13548" width="12.5703125" customWidth="1"/>
    <col min="13549" max="13550" width="10.85546875" bestFit="1" customWidth="1"/>
    <col min="13551" max="13551" width="11.85546875" bestFit="1" customWidth="1"/>
    <col min="13552" max="13552" width="10.85546875" bestFit="1" customWidth="1"/>
    <col min="13553" max="13553" width="12.28515625" customWidth="1"/>
    <col min="13554" max="13554" width="11.5703125" customWidth="1"/>
    <col min="13555" max="13555" width="10.85546875" bestFit="1" customWidth="1"/>
    <col min="13558" max="13558" width="11.85546875" bestFit="1" customWidth="1"/>
    <col min="13559" max="13560" width="12.28515625" customWidth="1"/>
    <col min="13561" max="13561" width="11.5703125" customWidth="1"/>
    <col min="13562" max="13562" width="10.85546875" bestFit="1" customWidth="1"/>
    <col min="13565" max="13565" width="11.85546875" bestFit="1" customWidth="1"/>
    <col min="13566" max="13567" width="12.28515625" customWidth="1"/>
    <col min="13568" max="13568" width="11.5703125" customWidth="1"/>
    <col min="13569" max="13569" width="10.85546875" bestFit="1" customWidth="1"/>
    <col min="13572" max="13572" width="11.85546875" bestFit="1" customWidth="1"/>
    <col min="13573" max="13574" width="12.28515625" customWidth="1"/>
    <col min="13575" max="13575" width="11.5703125" customWidth="1"/>
    <col min="13576" max="13576" width="10.85546875" bestFit="1" customWidth="1"/>
    <col min="13579" max="13579" width="11.85546875" bestFit="1" customWidth="1"/>
    <col min="13580" max="13581" width="12.28515625" customWidth="1"/>
    <col min="13582" max="13582" width="11.5703125" customWidth="1"/>
    <col min="13583" max="13583" width="10.85546875" bestFit="1" customWidth="1"/>
    <col min="13798" max="13798" width="11" customWidth="1"/>
    <col min="13799" max="13799" width="10.85546875" customWidth="1"/>
    <col min="13800" max="13800" width="11.85546875" bestFit="1" customWidth="1"/>
    <col min="13801" max="13801" width="12" customWidth="1"/>
    <col min="13802" max="13802" width="12.28515625" customWidth="1"/>
    <col min="13803" max="13803" width="11.5703125" customWidth="1"/>
    <col min="13804" max="13804" width="12.5703125" customWidth="1"/>
    <col min="13805" max="13806" width="10.85546875" bestFit="1" customWidth="1"/>
    <col min="13807" max="13807" width="11.85546875" bestFit="1" customWidth="1"/>
    <col min="13808" max="13808" width="10.85546875" bestFit="1" customWidth="1"/>
    <col min="13809" max="13809" width="12.28515625" customWidth="1"/>
    <col min="13810" max="13810" width="11.5703125" customWidth="1"/>
    <col min="13811" max="13811" width="10.85546875" bestFit="1" customWidth="1"/>
    <col min="13814" max="13814" width="11.85546875" bestFit="1" customWidth="1"/>
    <col min="13815" max="13816" width="12.28515625" customWidth="1"/>
    <col min="13817" max="13817" width="11.5703125" customWidth="1"/>
    <col min="13818" max="13818" width="10.85546875" bestFit="1" customWidth="1"/>
    <col min="13821" max="13821" width="11.85546875" bestFit="1" customWidth="1"/>
    <col min="13822" max="13823" width="12.28515625" customWidth="1"/>
    <col min="13824" max="13824" width="11.5703125" customWidth="1"/>
    <col min="13825" max="13825" width="10.85546875" bestFit="1" customWidth="1"/>
    <col min="13828" max="13828" width="11.85546875" bestFit="1" customWidth="1"/>
    <col min="13829" max="13830" width="12.28515625" customWidth="1"/>
    <col min="13831" max="13831" width="11.5703125" customWidth="1"/>
    <col min="13832" max="13832" width="10.85546875" bestFit="1" customWidth="1"/>
    <col min="13835" max="13835" width="11.85546875" bestFit="1" customWidth="1"/>
    <col min="13836" max="13837" width="12.28515625" customWidth="1"/>
    <col min="13838" max="13838" width="11.5703125" customWidth="1"/>
    <col min="13839" max="13839" width="10.85546875" bestFit="1" customWidth="1"/>
    <col min="14054" max="14054" width="11" customWidth="1"/>
    <col min="14055" max="14055" width="10.85546875" customWidth="1"/>
    <col min="14056" max="14056" width="11.85546875" bestFit="1" customWidth="1"/>
    <col min="14057" max="14057" width="12" customWidth="1"/>
    <col min="14058" max="14058" width="12.28515625" customWidth="1"/>
    <col min="14059" max="14059" width="11.5703125" customWidth="1"/>
    <col min="14060" max="14060" width="12.5703125" customWidth="1"/>
    <col min="14061" max="14062" width="10.85546875" bestFit="1" customWidth="1"/>
    <col min="14063" max="14063" width="11.85546875" bestFit="1" customWidth="1"/>
    <col min="14064" max="14064" width="10.85546875" bestFit="1" customWidth="1"/>
    <col min="14065" max="14065" width="12.28515625" customWidth="1"/>
    <col min="14066" max="14066" width="11.5703125" customWidth="1"/>
    <col min="14067" max="14067" width="10.85546875" bestFit="1" customWidth="1"/>
    <col min="14070" max="14070" width="11.85546875" bestFit="1" customWidth="1"/>
    <col min="14071" max="14072" width="12.28515625" customWidth="1"/>
    <col min="14073" max="14073" width="11.5703125" customWidth="1"/>
    <col min="14074" max="14074" width="10.85546875" bestFit="1" customWidth="1"/>
    <col min="14077" max="14077" width="11.85546875" bestFit="1" customWidth="1"/>
    <col min="14078" max="14079" width="12.28515625" customWidth="1"/>
    <col min="14080" max="14080" width="11.5703125" customWidth="1"/>
    <col min="14081" max="14081" width="10.85546875" bestFit="1" customWidth="1"/>
    <col min="14084" max="14084" width="11.85546875" bestFit="1" customWidth="1"/>
    <col min="14085" max="14086" width="12.28515625" customWidth="1"/>
    <col min="14087" max="14087" width="11.5703125" customWidth="1"/>
    <col min="14088" max="14088" width="10.85546875" bestFit="1" customWidth="1"/>
    <col min="14091" max="14091" width="11.85546875" bestFit="1" customWidth="1"/>
    <col min="14092" max="14093" width="12.28515625" customWidth="1"/>
    <col min="14094" max="14094" width="11.5703125" customWidth="1"/>
    <col min="14095" max="14095" width="10.85546875" bestFit="1" customWidth="1"/>
    <col min="14310" max="14310" width="11" customWidth="1"/>
    <col min="14311" max="14311" width="10.85546875" customWidth="1"/>
    <col min="14312" max="14312" width="11.85546875" bestFit="1" customWidth="1"/>
    <col min="14313" max="14313" width="12" customWidth="1"/>
    <col min="14314" max="14314" width="12.28515625" customWidth="1"/>
    <col min="14315" max="14315" width="11.5703125" customWidth="1"/>
    <col min="14316" max="14316" width="12.5703125" customWidth="1"/>
    <col min="14317" max="14318" width="10.85546875" bestFit="1" customWidth="1"/>
    <col min="14319" max="14319" width="11.85546875" bestFit="1" customWidth="1"/>
    <col min="14320" max="14320" width="10.85546875" bestFit="1" customWidth="1"/>
    <col min="14321" max="14321" width="12.28515625" customWidth="1"/>
    <col min="14322" max="14322" width="11.5703125" customWidth="1"/>
    <col min="14323" max="14323" width="10.85546875" bestFit="1" customWidth="1"/>
    <col min="14326" max="14326" width="11.85546875" bestFit="1" customWidth="1"/>
    <col min="14327" max="14328" width="12.28515625" customWidth="1"/>
    <col min="14329" max="14329" width="11.5703125" customWidth="1"/>
    <col min="14330" max="14330" width="10.85546875" bestFit="1" customWidth="1"/>
    <col min="14333" max="14333" width="11.85546875" bestFit="1" customWidth="1"/>
    <col min="14334" max="14335" width="12.28515625" customWidth="1"/>
    <col min="14336" max="14336" width="11.5703125" customWidth="1"/>
    <col min="14337" max="14337" width="10.85546875" bestFit="1" customWidth="1"/>
    <col min="14340" max="14340" width="11.85546875" bestFit="1" customWidth="1"/>
    <col min="14341" max="14342" width="12.28515625" customWidth="1"/>
    <col min="14343" max="14343" width="11.5703125" customWidth="1"/>
    <col min="14344" max="14344" width="10.85546875" bestFit="1" customWidth="1"/>
    <col min="14347" max="14347" width="11.85546875" bestFit="1" customWidth="1"/>
    <col min="14348" max="14349" width="12.28515625" customWidth="1"/>
    <col min="14350" max="14350" width="11.5703125" customWidth="1"/>
    <col min="14351" max="14351" width="10.85546875" bestFit="1" customWidth="1"/>
    <col min="14566" max="14566" width="11" customWidth="1"/>
    <col min="14567" max="14567" width="10.85546875" customWidth="1"/>
    <col min="14568" max="14568" width="11.85546875" bestFit="1" customWidth="1"/>
    <col min="14569" max="14569" width="12" customWidth="1"/>
    <col min="14570" max="14570" width="12.28515625" customWidth="1"/>
    <col min="14571" max="14571" width="11.5703125" customWidth="1"/>
    <col min="14572" max="14572" width="12.5703125" customWidth="1"/>
    <col min="14573" max="14574" width="10.85546875" bestFit="1" customWidth="1"/>
    <col min="14575" max="14575" width="11.85546875" bestFit="1" customWidth="1"/>
    <col min="14576" max="14576" width="10.85546875" bestFit="1" customWidth="1"/>
    <col min="14577" max="14577" width="12.28515625" customWidth="1"/>
    <col min="14578" max="14578" width="11.5703125" customWidth="1"/>
    <col min="14579" max="14579" width="10.85546875" bestFit="1" customWidth="1"/>
    <col min="14582" max="14582" width="11.85546875" bestFit="1" customWidth="1"/>
    <col min="14583" max="14584" width="12.28515625" customWidth="1"/>
    <col min="14585" max="14585" width="11.5703125" customWidth="1"/>
    <col min="14586" max="14586" width="10.85546875" bestFit="1" customWidth="1"/>
    <col min="14589" max="14589" width="11.85546875" bestFit="1" customWidth="1"/>
    <col min="14590" max="14591" width="12.28515625" customWidth="1"/>
    <col min="14592" max="14592" width="11.5703125" customWidth="1"/>
    <col min="14593" max="14593" width="10.85546875" bestFit="1" customWidth="1"/>
    <col min="14596" max="14596" width="11.85546875" bestFit="1" customWidth="1"/>
    <col min="14597" max="14598" width="12.28515625" customWidth="1"/>
    <col min="14599" max="14599" width="11.5703125" customWidth="1"/>
    <col min="14600" max="14600" width="10.85546875" bestFit="1" customWidth="1"/>
    <col min="14603" max="14603" width="11.85546875" bestFit="1" customWidth="1"/>
    <col min="14604" max="14605" width="12.28515625" customWidth="1"/>
    <col min="14606" max="14606" width="11.5703125" customWidth="1"/>
    <col min="14607" max="14607" width="10.85546875" bestFit="1" customWidth="1"/>
    <col min="14822" max="14822" width="11" customWidth="1"/>
    <col min="14823" max="14823" width="10.85546875" customWidth="1"/>
    <col min="14824" max="14824" width="11.85546875" bestFit="1" customWidth="1"/>
    <col min="14825" max="14825" width="12" customWidth="1"/>
    <col min="14826" max="14826" width="12.28515625" customWidth="1"/>
    <col min="14827" max="14827" width="11.5703125" customWidth="1"/>
    <col min="14828" max="14828" width="12.5703125" customWidth="1"/>
    <col min="14829" max="14830" width="10.85546875" bestFit="1" customWidth="1"/>
    <col min="14831" max="14831" width="11.85546875" bestFit="1" customWidth="1"/>
    <col min="14832" max="14832" width="10.85546875" bestFit="1" customWidth="1"/>
    <col min="14833" max="14833" width="12.28515625" customWidth="1"/>
    <col min="14834" max="14834" width="11.5703125" customWidth="1"/>
    <col min="14835" max="14835" width="10.85546875" bestFit="1" customWidth="1"/>
    <col min="14838" max="14838" width="11.85546875" bestFit="1" customWidth="1"/>
    <col min="14839" max="14840" width="12.28515625" customWidth="1"/>
    <col min="14841" max="14841" width="11.5703125" customWidth="1"/>
    <col min="14842" max="14842" width="10.85546875" bestFit="1" customWidth="1"/>
    <col min="14845" max="14845" width="11.85546875" bestFit="1" customWidth="1"/>
    <col min="14846" max="14847" width="12.28515625" customWidth="1"/>
    <col min="14848" max="14848" width="11.5703125" customWidth="1"/>
    <col min="14849" max="14849" width="10.85546875" bestFit="1" customWidth="1"/>
    <col min="14852" max="14852" width="11.85546875" bestFit="1" customWidth="1"/>
    <col min="14853" max="14854" width="12.28515625" customWidth="1"/>
    <col min="14855" max="14855" width="11.5703125" customWidth="1"/>
    <col min="14856" max="14856" width="10.85546875" bestFit="1" customWidth="1"/>
    <col min="14859" max="14859" width="11.85546875" bestFit="1" customWidth="1"/>
    <col min="14860" max="14861" width="12.28515625" customWidth="1"/>
    <col min="14862" max="14862" width="11.5703125" customWidth="1"/>
    <col min="14863" max="14863" width="10.85546875" bestFit="1" customWidth="1"/>
    <col min="15078" max="15078" width="11" customWidth="1"/>
    <col min="15079" max="15079" width="10.85546875" customWidth="1"/>
    <col min="15080" max="15080" width="11.85546875" bestFit="1" customWidth="1"/>
    <col min="15081" max="15081" width="12" customWidth="1"/>
    <col min="15082" max="15082" width="12.28515625" customWidth="1"/>
    <col min="15083" max="15083" width="11.5703125" customWidth="1"/>
    <col min="15084" max="15084" width="12.5703125" customWidth="1"/>
    <col min="15085" max="15086" width="10.85546875" bestFit="1" customWidth="1"/>
    <col min="15087" max="15087" width="11.85546875" bestFit="1" customWidth="1"/>
    <col min="15088" max="15088" width="10.85546875" bestFit="1" customWidth="1"/>
    <col min="15089" max="15089" width="12.28515625" customWidth="1"/>
    <col min="15090" max="15090" width="11.5703125" customWidth="1"/>
    <col min="15091" max="15091" width="10.85546875" bestFit="1" customWidth="1"/>
    <col min="15094" max="15094" width="11.85546875" bestFit="1" customWidth="1"/>
    <col min="15095" max="15096" width="12.28515625" customWidth="1"/>
    <col min="15097" max="15097" width="11.5703125" customWidth="1"/>
    <col min="15098" max="15098" width="10.85546875" bestFit="1" customWidth="1"/>
    <col min="15101" max="15101" width="11.85546875" bestFit="1" customWidth="1"/>
    <col min="15102" max="15103" width="12.28515625" customWidth="1"/>
    <col min="15104" max="15104" width="11.5703125" customWidth="1"/>
    <col min="15105" max="15105" width="10.85546875" bestFit="1" customWidth="1"/>
    <col min="15108" max="15108" width="11.85546875" bestFit="1" customWidth="1"/>
    <col min="15109" max="15110" width="12.28515625" customWidth="1"/>
    <col min="15111" max="15111" width="11.5703125" customWidth="1"/>
    <col min="15112" max="15112" width="10.85546875" bestFit="1" customWidth="1"/>
    <col min="15115" max="15115" width="11.85546875" bestFit="1" customWidth="1"/>
    <col min="15116" max="15117" width="12.28515625" customWidth="1"/>
    <col min="15118" max="15118" width="11.5703125" customWidth="1"/>
    <col min="15119" max="15119" width="10.85546875" bestFit="1" customWidth="1"/>
    <col min="15334" max="15334" width="11" customWidth="1"/>
    <col min="15335" max="15335" width="10.85546875" customWidth="1"/>
    <col min="15336" max="15336" width="11.85546875" bestFit="1" customWidth="1"/>
    <col min="15337" max="15337" width="12" customWidth="1"/>
    <col min="15338" max="15338" width="12.28515625" customWidth="1"/>
    <col min="15339" max="15339" width="11.5703125" customWidth="1"/>
    <col min="15340" max="15340" width="12.5703125" customWidth="1"/>
    <col min="15341" max="15342" width="10.85546875" bestFit="1" customWidth="1"/>
    <col min="15343" max="15343" width="11.85546875" bestFit="1" customWidth="1"/>
    <col min="15344" max="15344" width="10.85546875" bestFit="1" customWidth="1"/>
    <col min="15345" max="15345" width="12.28515625" customWidth="1"/>
    <col min="15346" max="15346" width="11.5703125" customWidth="1"/>
    <col min="15347" max="15347" width="10.85546875" bestFit="1" customWidth="1"/>
    <col min="15350" max="15350" width="11.85546875" bestFit="1" customWidth="1"/>
    <col min="15351" max="15352" width="12.28515625" customWidth="1"/>
    <col min="15353" max="15353" width="11.5703125" customWidth="1"/>
    <col min="15354" max="15354" width="10.85546875" bestFit="1" customWidth="1"/>
    <col min="15357" max="15357" width="11.85546875" bestFit="1" customWidth="1"/>
    <col min="15358" max="15359" width="12.28515625" customWidth="1"/>
    <col min="15360" max="15360" width="11.5703125" customWidth="1"/>
    <col min="15361" max="15361" width="10.85546875" bestFit="1" customWidth="1"/>
    <col min="15364" max="15364" width="11.85546875" bestFit="1" customWidth="1"/>
    <col min="15365" max="15366" width="12.28515625" customWidth="1"/>
    <col min="15367" max="15367" width="11.5703125" customWidth="1"/>
    <col min="15368" max="15368" width="10.85546875" bestFit="1" customWidth="1"/>
    <col min="15371" max="15371" width="11.85546875" bestFit="1" customWidth="1"/>
    <col min="15372" max="15373" width="12.28515625" customWidth="1"/>
    <col min="15374" max="15374" width="11.5703125" customWidth="1"/>
    <col min="15375" max="15375" width="10.85546875" bestFit="1" customWidth="1"/>
    <col min="15590" max="15590" width="11" customWidth="1"/>
    <col min="15591" max="15591" width="10.85546875" customWidth="1"/>
    <col min="15592" max="15592" width="11.85546875" bestFit="1" customWidth="1"/>
    <col min="15593" max="15593" width="12" customWidth="1"/>
    <col min="15594" max="15594" width="12.28515625" customWidth="1"/>
    <col min="15595" max="15595" width="11.5703125" customWidth="1"/>
    <col min="15596" max="15596" width="12.5703125" customWidth="1"/>
    <col min="15597" max="15598" width="10.85546875" bestFit="1" customWidth="1"/>
    <col min="15599" max="15599" width="11.85546875" bestFit="1" customWidth="1"/>
    <col min="15600" max="15600" width="10.85546875" bestFit="1" customWidth="1"/>
    <col min="15601" max="15601" width="12.28515625" customWidth="1"/>
    <col min="15602" max="15602" width="11.5703125" customWidth="1"/>
    <col min="15603" max="15603" width="10.85546875" bestFit="1" customWidth="1"/>
    <col min="15606" max="15606" width="11.85546875" bestFit="1" customWidth="1"/>
    <col min="15607" max="15608" width="12.28515625" customWidth="1"/>
    <col min="15609" max="15609" width="11.5703125" customWidth="1"/>
    <col min="15610" max="15610" width="10.85546875" bestFit="1" customWidth="1"/>
    <col min="15613" max="15613" width="11.85546875" bestFit="1" customWidth="1"/>
    <col min="15614" max="15615" width="12.28515625" customWidth="1"/>
    <col min="15616" max="15616" width="11.5703125" customWidth="1"/>
    <col min="15617" max="15617" width="10.85546875" bestFit="1" customWidth="1"/>
    <col min="15620" max="15620" width="11.85546875" bestFit="1" customWidth="1"/>
    <col min="15621" max="15622" width="12.28515625" customWidth="1"/>
    <col min="15623" max="15623" width="11.5703125" customWidth="1"/>
    <col min="15624" max="15624" width="10.85546875" bestFit="1" customWidth="1"/>
    <col min="15627" max="15627" width="11.85546875" bestFit="1" customWidth="1"/>
    <col min="15628" max="15629" width="12.28515625" customWidth="1"/>
    <col min="15630" max="15630" width="11.5703125" customWidth="1"/>
    <col min="15631" max="15631" width="10.85546875" bestFit="1" customWidth="1"/>
    <col min="15846" max="15846" width="11" customWidth="1"/>
    <col min="15847" max="15847" width="10.85546875" customWidth="1"/>
    <col min="15848" max="15848" width="11.85546875" bestFit="1" customWidth="1"/>
    <col min="15849" max="15849" width="12" customWidth="1"/>
    <col min="15850" max="15850" width="12.28515625" customWidth="1"/>
    <col min="15851" max="15851" width="11.5703125" customWidth="1"/>
    <col min="15852" max="15852" width="12.5703125" customWidth="1"/>
    <col min="15853" max="15854" width="10.85546875" bestFit="1" customWidth="1"/>
    <col min="15855" max="15855" width="11.85546875" bestFit="1" customWidth="1"/>
    <col min="15856" max="15856" width="10.85546875" bestFit="1" customWidth="1"/>
    <col min="15857" max="15857" width="12.28515625" customWidth="1"/>
    <col min="15858" max="15858" width="11.5703125" customWidth="1"/>
    <col min="15859" max="15859" width="10.85546875" bestFit="1" customWidth="1"/>
    <col min="15862" max="15862" width="11.85546875" bestFit="1" customWidth="1"/>
    <col min="15863" max="15864" width="12.28515625" customWidth="1"/>
    <col min="15865" max="15865" width="11.5703125" customWidth="1"/>
    <col min="15866" max="15866" width="10.85546875" bestFit="1" customWidth="1"/>
    <col min="15869" max="15869" width="11.85546875" bestFit="1" customWidth="1"/>
    <col min="15870" max="15871" width="12.28515625" customWidth="1"/>
    <col min="15872" max="15872" width="11.5703125" customWidth="1"/>
    <col min="15873" max="15873" width="10.85546875" bestFit="1" customWidth="1"/>
    <col min="15876" max="15876" width="11.85546875" bestFit="1" customWidth="1"/>
    <col min="15877" max="15878" width="12.28515625" customWidth="1"/>
    <col min="15879" max="15879" width="11.5703125" customWidth="1"/>
    <col min="15880" max="15880" width="10.85546875" bestFit="1" customWidth="1"/>
    <col min="15883" max="15883" width="11.85546875" bestFit="1" customWidth="1"/>
    <col min="15884" max="15885" width="12.28515625" customWidth="1"/>
    <col min="15886" max="15886" width="11.5703125" customWidth="1"/>
    <col min="15887" max="15887" width="10.85546875" bestFit="1" customWidth="1"/>
    <col min="16102" max="16102" width="11" customWidth="1"/>
    <col min="16103" max="16103" width="10.85546875" customWidth="1"/>
    <col min="16104" max="16104" width="11.85546875" bestFit="1" customWidth="1"/>
    <col min="16105" max="16105" width="12" customWidth="1"/>
    <col min="16106" max="16106" width="12.28515625" customWidth="1"/>
    <col min="16107" max="16107" width="11.5703125" customWidth="1"/>
    <col min="16108" max="16108" width="12.5703125" customWidth="1"/>
    <col min="16109" max="16110" width="10.85546875" bestFit="1" customWidth="1"/>
    <col min="16111" max="16111" width="11.85546875" bestFit="1" customWidth="1"/>
    <col min="16112" max="16112" width="10.85546875" bestFit="1" customWidth="1"/>
    <col min="16113" max="16113" width="12.28515625" customWidth="1"/>
    <col min="16114" max="16114" width="11.5703125" customWidth="1"/>
    <col min="16115" max="16115" width="10.85546875" bestFit="1" customWidth="1"/>
    <col min="16118" max="16118" width="11.85546875" bestFit="1" customWidth="1"/>
    <col min="16119" max="16120" width="12.28515625" customWidth="1"/>
    <col min="16121" max="16121" width="11.5703125" customWidth="1"/>
    <col min="16122" max="16122" width="10.85546875" bestFit="1" customWidth="1"/>
    <col min="16125" max="16125" width="11.85546875" bestFit="1" customWidth="1"/>
    <col min="16126" max="16127" width="12.28515625" customWidth="1"/>
    <col min="16128" max="16128" width="11.5703125" customWidth="1"/>
    <col min="16129" max="16129" width="10.85546875" bestFit="1" customWidth="1"/>
    <col min="16132" max="16132" width="11.85546875" bestFit="1" customWidth="1"/>
    <col min="16133" max="16134" width="12.28515625" customWidth="1"/>
    <col min="16135" max="16135" width="11.5703125" customWidth="1"/>
    <col min="16136" max="16136" width="10.85546875" bestFit="1" customWidth="1"/>
    <col min="16139" max="16139" width="11.85546875" bestFit="1" customWidth="1"/>
    <col min="16140" max="16141" width="12.28515625" customWidth="1"/>
    <col min="16142" max="16142" width="11.5703125" customWidth="1"/>
    <col min="16143" max="16143" width="10.85546875" bestFit="1" customWidth="1"/>
  </cols>
  <sheetData>
    <row r="2" spans="2:24" x14ac:dyDescent="0.25">
      <c r="C2" s="87">
        <v>0.2</v>
      </c>
      <c r="J2" s="88"/>
      <c r="S2" s="87">
        <v>0.2</v>
      </c>
    </row>
    <row r="4" spans="2:24" x14ac:dyDescent="0.25">
      <c r="B4">
        <v>2027</v>
      </c>
      <c r="C4" s="89" t="s">
        <v>265</v>
      </c>
      <c r="D4" s="90">
        <v>0</v>
      </c>
      <c r="E4" s="91">
        <f>$D$4/120</f>
        <v>0</v>
      </c>
      <c r="F4" s="92">
        <f>D4*$C$2/12</f>
        <v>0</v>
      </c>
      <c r="G4" s="92">
        <f>E4+F4</f>
        <v>0</v>
      </c>
      <c r="I4">
        <v>2027</v>
      </c>
      <c r="J4" s="89" t="s">
        <v>265</v>
      </c>
      <c r="K4" s="90">
        <f>'№2 ИП ТС'!Z66</f>
        <v>7761.7564700000003</v>
      </c>
      <c r="L4" s="91">
        <f>K4/120</f>
        <v>64.681303916666664</v>
      </c>
      <c r="M4" s="92">
        <f>K4*$C$2/12</f>
        <v>129.36260783333333</v>
      </c>
      <c r="N4" s="92">
        <f>L4+M4</f>
        <v>194.04391175000001</v>
      </c>
      <c r="R4">
        <v>2027</v>
      </c>
      <c r="S4" s="89" t="s">
        <v>265</v>
      </c>
      <c r="T4" s="90">
        <f>K4+D4</f>
        <v>7761.7564700000003</v>
      </c>
      <c r="U4" s="91">
        <f>$T$4/120</f>
        <v>64.681303916666664</v>
      </c>
      <c r="V4" s="92">
        <f>T4*$C$2/12</f>
        <v>129.36260783333333</v>
      </c>
      <c r="W4" s="92">
        <f>U4+V4</f>
        <v>194.04391175000001</v>
      </c>
    </row>
    <row r="5" spans="2:24" x14ac:dyDescent="0.25">
      <c r="C5" s="93" t="s">
        <v>266</v>
      </c>
      <c r="D5" s="90">
        <f>D4-$D$4/120</f>
        <v>0</v>
      </c>
      <c r="E5" s="91">
        <f>$D$4/120</f>
        <v>0</v>
      </c>
      <c r="F5" s="92">
        <f t="shared" ref="F5:F68" si="0">D5*$C$2/12</f>
        <v>0</v>
      </c>
      <c r="G5" s="92">
        <f t="shared" ref="G5:G68" si="1">E5+F5</f>
        <v>0</v>
      </c>
      <c r="J5" s="93" t="s">
        <v>266</v>
      </c>
      <c r="K5" s="90">
        <f>K4-L5</f>
        <v>7697.0751660833339</v>
      </c>
      <c r="L5" s="91">
        <f>L4</f>
        <v>64.681303916666664</v>
      </c>
      <c r="M5" s="92">
        <f t="shared" ref="M5:M68" si="2">K5*$C$2/12</f>
        <v>128.2845861013889</v>
      </c>
      <c r="N5" s="92">
        <f t="shared" ref="N5:N67" si="3">L5+M5</f>
        <v>192.96589001805557</v>
      </c>
      <c r="S5" s="93" t="s">
        <v>266</v>
      </c>
      <c r="T5" s="90">
        <f>T4-$T$4/120</f>
        <v>7697.0751660833339</v>
      </c>
      <c r="U5" s="91">
        <f t="shared" ref="U5:U27" si="4">$T$4/120</f>
        <v>64.681303916666664</v>
      </c>
      <c r="V5" s="92">
        <f t="shared" ref="V5:V6" si="5">T5*$C$2/12</f>
        <v>128.2845861013889</v>
      </c>
      <c r="W5" s="92">
        <f t="shared" ref="W5:W24" si="6">U5+V5</f>
        <v>192.96589001805557</v>
      </c>
    </row>
    <row r="6" spans="2:24" x14ac:dyDescent="0.25">
      <c r="C6" s="93" t="s">
        <v>267</v>
      </c>
      <c r="D6" s="90">
        <v>0</v>
      </c>
      <c r="E6" s="91">
        <f>$D$6/118</f>
        <v>0</v>
      </c>
      <c r="F6" s="92">
        <f t="shared" si="0"/>
        <v>0</v>
      </c>
      <c r="G6" s="92">
        <f t="shared" si="1"/>
        <v>0</v>
      </c>
      <c r="J6" s="93" t="s">
        <v>267</v>
      </c>
      <c r="K6" s="90">
        <f t="shared" ref="K6:K69" si="7">K5-L6</f>
        <v>7632.3938621666675</v>
      </c>
      <c r="L6" s="91">
        <f t="shared" ref="L6:L69" si="8">L5</f>
        <v>64.681303916666664</v>
      </c>
      <c r="M6" s="92">
        <f t="shared" si="2"/>
        <v>127.20656436944448</v>
      </c>
      <c r="N6" s="92">
        <f t="shared" si="3"/>
        <v>191.88786828611114</v>
      </c>
      <c r="S6" s="93" t="s">
        <v>267</v>
      </c>
      <c r="T6" s="90">
        <f t="shared" ref="T6:T27" si="9">T5-$T$4/120</f>
        <v>7632.3938621666675</v>
      </c>
      <c r="U6" s="91">
        <f t="shared" si="4"/>
        <v>64.681303916666664</v>
      </c>
      <c r="V6" s="92">
        <f t="shared" si="5"/>
        <v>127.20656436944448</v>
      </c>
      <c r="W6" s="92">
        <f t="shared" si="6"/>
        <v>191.88786828611114</v>
      </c>
    </row>
    <row r="7" spans="2:24" x14ac:dyDescent="0.25">
      <c r="C7" s="93" t="s">
        <v>268</v>
      </c>
      <c r="D7" s="90"/>
      <c r="E7" s="91">
        <f>$D$7/93</f>
        <v>0</v>
      </c>
      <c r="F7" s="92">
        <f>D7*$C$2/12</f>
        <v>0</v>
      </c>
      <c r="G7" s="92">
        <f t="shared" si="1"/>
        <v>0</v>
      </c>
      <c r="J7" s="93" t="s">
        <v>268</v>
      </c>
      <c r="K7" s="90">
        <f t="shared" si="7"/>
        <v>7567.7125582500012</v>
      </c>
      <c r="L7" s="91">
        <f t="shared" si="8"/>
        <v>64.681303916666664</v>
      </c>
      <c r="M7" s="92">
        <f t="shared" si="2"/>
        <v>126.12854263750002</v>
      </c>
      <c r="N7" s="92">
        <f t="shared" si="3"/>
        <v>190.80984655416668</v>
      </c>
      <c r="S7" s="93" t="s">
        <v>268</v>
      </c>
      <c r="T7" s="90">
        <f t="shared" si="9"/>
        <v>7567.7125582500012</v>
      </c>
      <c r="U7" s="91">
        <f t="shared" si="4"/>
        <v>64.681303916666664</v>
      </c>
      <c r="V7" s="92">
        <f>T7*$C$2/12</f>
        <v>126.12854263750002</v>
      </c>
      <c r="W7" s="92">
        <f t="shared" si="6"/>
        <v>190.80984655416668</v>
      </c>
    </row>
    <row r="8" spans="2:24" x14ac:dyDescent="0.25">
      <c r="C8" s="93" t="s">
        <v>269</v>
      </c>
      <c r="D8" s="90"/>
      <c r="E8" s="91">
        <f>$D$8/120</f>
        <v>0</v>
      </c>
      <c r="F8" s="92">
        <f>D8*$C$2/12</f>
        <v>0</v>
      </c>
      <c r="G8" s="92">
        <f t="shared" si="1"/>
        <v>0</v>
      </c>
      <c r="J8" s="93" t="s">
        <v>269</v>
      </c>
      <c r="K8" s="90">
        <f t="shared" si="7"/>
        <v>7503.0312543333348</v>
      </c>
      <c r="L8" s="91">
        <f t="shared" si="8"/>
        <v>64.681303916666664</v>
      </c>
      <c r="M8" s="92">
        <f t="shared" si="2"/>
        <v>125.05052090555559</v>
      </c>
      <c r="N8" s="92">
        <f t="shared" si="3"/>
        <v>189.73182482222225</v>
      </c>
      <c r="S8" s="93" t="s">
        <v>269</v>
      </c>
      <c r="T8" s="90">
        <f t="shared" si="9"/>
        <v>7503.0312543333348</v>
      </c>
      <c r="U8" s="91">
        <f t="shared" si="4"/>
        <v>64.681303916666664</v>
      </c>
      <c r="V8" s="92">
        <f>T8*$C$2/12</f>
        <v>125.05052090555559</v>
      </c>
      <c r="W8" s="92">
        <f t="shared" si="6"/>
        <v>189.73182482222225</v>
      </c>
    </row>
    <row r="9" spans="2:24" x14ac:dyDescent="0.25">
      <c r="C9" s="93" t="s">
        <v>270</v>
      </c>
      <c r="D9" s="90"/>
      <c r="E9" s="91">
        <f>$D$8/120</f>
        <v>0</v>
      </c>
      <c r="F9" s="92">
        <f t="shared" si="0"/>
        <v>0</v>
      </c>
      <c r="G9" s="92">
        <f t="shared" si="1"/>
        <v>0</v>
      </c>
      <c r="J9" s="93" t="s">
        <v>270</v>
      </c>
      <c r="K9" s="90">
        <f t="shared" si="7"/>
        <v>7438.3499504166684</v>
      </c>
      <c r="L9" s="91">
        <f t="shared" si="8"/>
        <v>64.681303916666664</v>
      </c>
      <c r="M9" s="92">
        <f t="shared" si="2"/>
        <v>123.97249917361114</v>
      </c>
      <c r="N9" s="92">
        <f t="shared" si="3"/>
        <v>188.65380309027779</v>
      </c>
      <c r="S9" s="93" t="s">
        <v>270</v>
      </c>
      <c r="T9" s="90">
        <f t="shared" si="9"/>
        <v>7438.3499504166684</v>
      </c>
      <c r="U9" s="91">
        <f t="shared" si="4"/>
        <v>64.681303916666664</v>
      </c>
      <c r="V9" s="92">
        <f t="shared" ref="V9:V25" si="10">T9*$C$2/12</f>
        <v>123.97249917361114</v>
      </c>
      <c r="W9" s="92">
        <f t="shared" si="6"/>
        <v>188.65380309027779</v>
      </c>
    </row>
    <row r="10" spans="2:24" x14ac:dyDescent="0.25">
      <c r="C10" s="93" t="s">
        <v>271</v>
      </c>
      <c r="D10" s="90"/>
      <c r="E10" s="91">
        <f>$D$8/120</f>
        <v>0</v>
      </c>
      <c r="F10" s="92">
        <f t="shared" si="0"/>
        <v>0</v>
      </c>
      <c r="G10" s="92">
        <f t="shared" si="1"/>
        <v>0</v>
      </c>
      <c r="J10" s="93" t="s">
        <v>271</v>
      </c>
      <c r="K10" s="90">
        <f t="shared" si="7"/>
        <v>7373.6686465000021</v>
      </c>
      <c r="L10" s="91">
        <f t="shared" si="8"/>
        <v>64.681303916666664</v>
      </c>
      <c r="M10" s="92">
        <f t="shared" si="2"/>
        <v>122.89447744166671</v>
      </c>
      <c r="N10" s="92">
        <f t="shared" si="3"/>
        <v>187.57578135833336</v>
      </c>
      <c r="S10" s="93" t="s">
        <v>271</v>
      </c>
      <c r="T10" s="90">
        <f t="shared" si="9"/>
        <v>7373.6686465000021</v>
      </c>
      <c r="U10" s="91">
        <f t="shared" si="4"/>
        <v>64.681303916666664</v>
      </c>
      <c r="V10" s="92">
        <f t="shared" si="10"/>
        <v>122.89447744166671</v>
      </c>
      <c r="W10" s="92">
        <f t="shared" si="6"/>
        <v>187.57578135833336</v>
      </c>
    </row>
    <row r="11" spans="2:24" x14ac:dyDescent="0.25">
      <c r="C11" s="93" t="s">
        <v>272</v>
      </c>
      <c r="D11" s="90"/>
      <c r="E11" s="91">
        <f>$D$8/120</f>
        <v>0</v>
      </c>
      <c r="F11" s="92">
        <f t="shared" si="0"/>
        <v>0</v>
      </c>
      <c r="G11" s="92">
        <f t="shared" si="1"/>
        <v>0</v>
      </c>
      <c r="J11" s="93" t="s">
        <v>272</v>
      </c>
      <c r="K11" s="90">
        <f t="shared" si="7"/>
        <v>7308.9873425833357</v>
      </c>
      <c r="L11" s="91">
        <f t="shared" si="8"/>
        <v>64.681303916666664</v>
      </c>
      <c r="M11" s="92">
        <f t="shared" si="2"/>
        <v>121.81645570972228</v>
      </c>
      <c r="N11" s="92">
        <f t="shared" si="3"/>
        <v>186.49775962638893</v>
      </c>
      <c r="S11" s="93" t="s">
        <v>272</v>
      </c>
      <c r="T11" s="90">
        <f t="shared" si="9"/>
        <v>7308.9873425833357</v>
      </c>
      <c r="U11" s="91">
        <f t="shared" si="4"/>
        <v>64.681303916666664</v>
      </c>
      <c r="V11" s="92">
        <f t="shared" si="10"/>
        <v>121.81645570972228</v>
      </c>
      <c r="W11" s="92">
        <f t="shared" si="6"/>
        <v>186.49775962638893</v>
      </c>
    </row>
    <row r="12" spans="2:24" x14ac:dyDescent="0.25">
      <c r="C12" s="93" t="s">
        <v>273</v>
      </c>
      <c r="D12" s="90"/>
      <c r="E12" s="91">
        <f>$D$12/120</f>
        <v>0</v>
      </c>
      <c r="F12" s="92">
        <f t="shared" si="0"/>
        <v>0</v>
      </c>
      <c r="G12" s="92">
        <f t="shared" si="1"/>
        <v>0</v>
      </c>
      <c r="J12" s="93" t="s">
        <v>273</v>
      </c>
      <c r="K12" s="90">
        <f t="shared" si="7"/>
        <v>7244.3060386666693</v>
      </c>
      <c r="L12" s="91">
        <f t="shared" si="8"/>
        <v>64.681303916666664</v>
      </c>
      <c r="M12" s="92">
        <f t="shared" si="2"/>
        <v>120.73843397777783</v>
      </c>
      <c r="N12" s="92">
        <f t="shared" si="3"/>
        <v>185.41973789444449</v>
      </c>
      <c r="S12" s="93" t="s">
        <v>273</v>
      </c>
      <c r="T12" s="90">
        <f t="shared" si="9"/>
        <v>7244.3060386666693</v>
      </c>
      <c r="U12" s="91">
        <f t="shared" si="4"/>
        <v>64.681303916666664</v>
      </c>
      <c r="V12" s="92">
        <f t="shared" si="10"/>
        <v>120.73843397777783</v>
      </c>
      <c r="W12" s="92">
        <f t="shared" si="6"/>
        <v>185.41973789444449</v>
      </c>
    </row>
    <row r="13" spans="2:24" x14ac:dyDescent="0.25">
      <c r="C13" s="93" t="s">
        <v>274</v>
      </c>
      <c r="D13" s="90"/>
      <c r="E13" s="91">
        <f>$D$13/120</f>
        <v>0</v>
      </c>
      <c r="F13" s="92">
        <f t="shared" si="0"/>
        <v>0</v>
      </c>
      <c r="G13" s="92">
        <f t="shared" si="1"/>
        <v>0</v>
      </c>
      <c r="J13" s="93" t="s">
        <v>274</v>
      </c>
      <c r="K13" s="90">
        <f t="shared" si="7"/>
        <v>7179.624734750003</v>
      </c>
      <c r="L13" s="91">
        <f t="shared" si="8"/>
        <v>64.681303916666664</v>
      </c>
      <c r="M13" s="92">
        <f t="shared" si="2"/>
        <v>119.6604122458334</v>
      </c>
      <c r="N13" s="92">
        <f t="shared" si="3"/>
        <v>184.34171616250006</v>
      </c>
      <c r="S13" s="93" t="s">
        <v>274</v>
      </c>
      <c r="T13" s="90">
        <f t="shared" si="9"/>
        <v>7179.624734750003</v>
      </c>
      <c r="U13" s="91">
        <f t="shared" si="4"/>
        <v>64.681303916666664</v>
      </c>
      <c r="V13" s="92">
        <f t="shared" si="10"/>
        <v>119.6604122458334</v>
      </c>
      <c r="W13" s="92">
        <f t="shared" si="6"/>
        <v>184.34171616250006</v>
      </c>
    </row>
    <row r="14" spans="2:24" x14ac:dyDescent="0.25">
      <c r="C14" s="93" t="s">
        <v>275</v>
      </c>
      <c r="D14" s="90"/>
      <c r="E14" s="91">
        <f>$D$13/120</f>
        <v>0</v>
      </c>
      <c r="F14" s="92">
        <f t="shared" si="0"/>
        <v>0</v>
      </c>
      <c r="G14" s="92">
        <f t="shared" si="1"/>
        <v>0</v>
      </c>
      <c r="J14" s="93" t="s">
        <v>275</v>
      </c>
      <c r="K14" s="90">
        <f t="shared" si="7"/>
        <v>7114.9434308333366</v>
      </c>
      <c r="L14" s="91">
        <f t="shared" si="8"/>
        <v>64.681303916666664</v>
      </c>
      <c r="M14" s="92">
        <f t="shared" si="2"/>
        <v>118.58239051388894</v>
      </c>
      <c r="N14" s="92">
        <f t="shared" si="3"/>
        <v>183.2636944305556</v>
      </c>
      <c r="S14" s="93" t="s">
        <v>275</v>
      </c>
      <c r="T14" s="90">
        <f t="shared" si="9"/>
        <v>7114.9434308333366</v>
      </c>
      <c r="U14" s="91">
        <f t="shared" si="4"/>
        <v>64.681303916666664</v>
      </c>
      <c r="V14" s="92">
        <f t="shared" si="10"/>
        <v>118.58239051388894</v>
      </c>
      <c r="W14" s="92">
        <f t="shared" si="6"/>
        <v>183.2636944305556</v>
      </c>
    </row>
    <row r="15" spans="2:24" x14ac:dyDescent="0.25">
      <c r="C15" s="93" t="s">
        <v>276</v>
      </c>
      <c r="D15" s="90"/>
      <c r="E15" s="91">
        <f t="shared" ref="E15:E23" si="11">$D$13/120</f>
        <v>0</v>
      </c>
      <c r="F15" s="92">
        <f t="shared" si="0"/>
        <v>0</v>
      </c>
      <c r="G15" s="92">
        <f t="shared" si="1"/>
        <v>0</v>
      </c>
      <c r="H15" s="94">
        <f>SUM(F4:F15)</f>
        <v>0</v>
      </c>
      <c r="J15" s="93" t="s">
        <v>276</v>
      </c>
      <c r="K15" s="90">
        <f t="shared" si="7"/>
        <v>7050.2621269166702</v>
      </c>
      <c r="L15" s="91">
        <f t="shared" si="8"/>
        <v>64.681303916666664</v>
      </c>
      <c r="M15" s="92">
        <f t="shared" si="2"/>
        <v>117.50436878194451</v>
      </c>
      <c r="N15" s="92">
        <f t="shared" si="3"/>
        <v>182.18567269861117</v>
      </c>
      <c r="O15" s="94">
        <f>SUM(M4:M15)</f>
        <v>1481.2018596916671</v>
      </c>
      <c r="S15" s="93" t="s">
        <v>276</v>
      </c>
      <c r="T15" s="90">
        <f t="shared" si="9"/>
        <v>7050.2621269166702</v>
      </c>
      <c r="U15" s="91">
        <f t="shared" si="4"/>
        <v>64.681303916666664</v>
      </c>
      <c r="V15" s="92">
        <f t="shared" si="10"/>
        <v>117.50436878194451</v>
      </c>
      <c r="W15" s="92">
        <f t="shared" si="6"/>
        <v>182.18567269861117</v>
      </c>
      <c r="X15" s="94">
        <f>SUM(V4:V15)</f>
        <v>1481.2018596916671</v>
      </c>
    </row>
    <row r="16" spans="2:24" x14ac:dyDescent="0.25">
      <c r="B16">
        <v>2028</v>
      </c>
      <c r="C16" s="89" t="s">
        <v>265</v>
      </c>
      <c r="D16" s="90"/>
      <c r="E16" s="91">
        <f t="shared" si="11"/>
        <v>0</v>
      </c>
      <c r="F16" s="92">
        <f t="shared" si="0"/>
        <v>0</v>
      </c>
      <c r="G16" s="95">
        <f t="shared" si="1"/>
        <v>0</v>
      </c>
      <c r="I16">
        <v>2028</v>
      </c>
      <c r="J16" s="89" t="s">
        <v>265</v>
      </c>
      <c r="K16" s="90">
        <f t="shared" si="7"/>
        <v>6985.5808230000039</v>
      </c>
      <c r="L16" s="91">
        <f t="shared" si="8"/>
        <v>64.681303916666664</v>
      </c>
      <c r="M16" s="92">
        <f t="shared" si="2"/>
        <v>116.42634705000008</v>
      </c>
      <c r="N16" s="95">
        <f t="shared" si="3"/>
        <v>181.10765096666674</v>
      </c>
      <c r="R16">
        <v>2028</v>
      </c>
      <c r="S16" s="89" t="s">
        <v>265</v>
      </c>
      <c r="T16" s="90">
        <f t="shared" si="9"/>
        <v>6985.5808230000039</v>
      </c>
      <c r="U16" s="91">
        <f t="shared" si="4"/>
        <v>64.681303916666664</v>
      </c>
      <c r="V16" s="92">
        <f t="shared" si="10"/>
        <v>116.42634705000008</v>
      </c>
      <c r="W16" s="95">
        <f t="shared" si="6"/>
        <v>181.10765096666674</v>
      </c>
    </row>
    <row r="17" spans="2:24" x14ac:dyDescent="0.25">
      <c r="C17" s="93" t="s">
        <v>266</v>
      </c>
      <c r="D17" s="90"/>
      <c r="E17" s="91">
        <f t="shared" si="11"/>
        <v>0</v>
      </c>
      <c r="F17" s="92">
        <f t="shared" si="0"/>
        <v>0</v>
      </c>
      <c r="G17" s="95">
        <f t="shared" si="1"/>
        <v>0</v>
      </c>
      <c r="J17" s="93" t="s">
        <v>266</v>
      </c>
      <c r="K17" s="90">
        <f t="shared" si="7"/>
        <v>6920.8995190833375</v>
      </c>
      <c r="L17" s="91">
        <f t="shared" si="8"/>
        <v>64.681303916666664</v>
      </c>
      <c r="M17" s="92">
        <f t="shared" si="2"/>
        <v>115.34832531805563</v>
      </c>
      <c r="N17" s="95">
        <f t="shared" si="3"/>
        <v>180.02962923472228</v>
      </c>
      <c r="S17" s="93" t="s">
        <v>266</v>
      </c>
      <c r="T17" s="90">
        <f t="shared" si="9"/>
        <v>6920.8995190833375</v>
      </c>
      <c r="U17" s="91">
        <f t="shared" si="4"/>
        <v>64.681303916666664</v>
      </c>
      <c r="V17" s="92">
        <f t="shared" si="10"/>
        <v>115.34832531805563</v>
      </c>
      <c r="W17" s="95">
        <f t="shared" si="6"/>
        <v>180.02962923472228</v>
      </c>
    </row>
    <row r="18" spans="2:24" x14ac:dyDescent="0.25">
      <c r="C18" s="93" t="s">
        <v>267</v>
      </c>
      <c r="D18" s="90"/>
      <c r="E18" s="91">
        <f t="shared" si="11"/>
        <v>0</v>
      </c>
      <c r="F18" s="92">
        <f t="shared" si="0"/>
        <v>0</v>
      </c>
      <c r="G18" s="95">
        <f t="shared" si="1"/>
        <v>0</v>
      </c>
      <c r="J18" s="93" t="s">
        <v>267</v>
      </c>
      <c r="K18" s="90">
        <f t="shared" si="7"/>
        <v>6856.2182151666711</v>
      </c>
      <c r="L18" s="91">
        <f t="shared" si="8"/>
        <v>64.681303916666664</v>
      </c>
      <c r="M18" s="92">
        <f t="shared" si="2"/>
        <v>114.2703035861112</v>
      </c>
      <c r="N18" s="95">
        <f t="shared" si="3"/>
        <v>178.95160750277785</v>
      </c>
      <c r="S18" s="93" t="s">
        <v>267</v>
      </c>
      <c r="T18" s="90">
        <f t="shared" si="9"/>
        <v>6856.2182151666711</v>
      </c>
      <c r="U18" s="91">
        <f t="shared" si="4"/>
        <v>64.681303916666664</v>
      </c>
      <c r="V18" s="92">
        <f t="shared" si="10"/>
        <v>114.2703035861112</v>
      </c>
      <c r="W18" s="95">
        <f t="shared" si="6"/>
        <v>178.95160750277785</v>
      </c>
    </row>
    <row r="19" spans="2:24" x14ac:dyDescent="0.25">
      <c r="C19" s="93" t="s">
        <v>268</v>
      </c>
      <c r="D19" s="90"/>
      <c r="E19" s="91">
        <f t="shared" si="11"/>
        <v>0</v>
      </c>
      <c r="F19" s="92">
        <f t="shared" si="0"/>
        <v>0</v>
      </c>
      <c r="G19" s="95">
        <f t="shared" si="1"/>
        <v>0</v>
      </c>
      <c r="J19" s="93" t="s">
        <v>268</v>
      </c>
      <c r="K19" s="90">
        <f t="shared" si="7"/>
        <v>6791.5369112500048</v>
      </c>
      <c r="L19" s="91">
        <f t="shared" si="8"/>
        <v>64.681303916666664</v>
      </c>
      <c r="M19" s="92">
        <f t="shared" si="2"/>
        <v>113.19228185416675</v>
      </c>
      <c r="N19" s="95">
        <f t="shared" si="3"/>
        <v>177.87358577083342</v>
      </c>
      <c r="S19" s="93" t="s">
        <v>268</v>
      </c>
      <c r="T19" s="90">
        <f t="shared" si="9"/>
        <v>6791.5369112500048</v>
      </c>
      <c r="U19" s="91">
        <f t="shared" si="4"/>
        <v>64.681303916666664</v>
      </c>
      <c r="V19" s="92">
        <f t="shared" si="10"/>
        <v>113.19228185416675</v>
      </c>
      <c r="W19" s="95">
        <f t="shared" si="6"/>
        <v>177.87358577083342</v>
      </c>
    </row>
    <row r="20" spans="2:24" x14ac:dyDescent="0.25">
      <c r="C20" s="93" t="s">
        <v>269</v>
      </c>
      <c r="D20" s="90"/>
      <c r="E20" s="91">
        <f t="shared" si="11"/>
        <v>0</v>
      </c>
      <c r="F20" s="92">
        <f t="shared" si="0"/>
        <v>0</v>
      </c>
      <c r="G20" s="95">
        <f t="shared" si="1"/>
        <v>0</v>
      </c>
      <c r="J20" s="93" t="s">
        <v>269</v>
      </c>
      <c r="K20" s="90">
        <f t="shared" si="7"/>
        <v>6726.8556073333384</v>
      </c>
      <c r="L20" s="91">
        <f t="shared" si="8"/>
        <v>64.681303916666664</v>
      </c>
      <c r="M20" s="92">
        <f t="shared" si="2"/>
        <v>112.11426012222232</v>
      </c>
      <c r="N20" s="95">
        <f t="shared" si="3"/>
        <v>176.79556403888898</v>
      </c>
      <c r="S20" s="93" t="s">
        <v>269</v>
      </c>
      <c r="T20" s="90">
        <f t="shared" si="9"/>
        <v>6726.8556073333384</v>
      </c>
      <c r="U20" s="91">
        <f t="shared" si="4"/>
        <v>64.681303916666664</v>
      </c>
      <c r="V20" s="92">
        <f t="shared" si="10"/>
        <v>112.11426012222232</v>
      </c>
      <c r="W20" s="95">
        <f t="shared" si="6"/>
        <v>176.79556403888898</v>
      </c>
    </row>
    <row r="21" spans="2:24" x14ac:dyDescent="0.25">
      <c r="C21" s="93" t="s">
        <v>270</v>
      </c>
      <c r="D21" s="90"/>
      <c r="E21" s="91">
        <f t="shared" si="11"/>
        <v>0</v>
      </c>
      <c r="F21" s="92">
        <f t="shared" si="0"/>
        <v>0</v>
      </c>
      <c r="G21" s="95">
        <f t="shared" si="1"/>
        <v>0</v>
      </c>
      <c r="J21" s="93" t="s">
        <v>270</v>
      </c>
      <c r="K21" s="90">
        <f t="shared" si="7"/>
        <v>6662.174303416672</v>
      </c>
      <c r="L21" s="91">
        <f t="shared" si="8"/>
        <v>64.681303916666664</v>
      </c>
      <c r="M21" s="92">
        <f t="shared" si="2"/>
        <v>111.03623839027789</v>
      </c>
      <c r="N21" s="95">
        <f t="shared" si="3"/>
        <v>175.71754230694455</v>
      </c>
      <c r="S21" s="93" t="s">
        <v>270</v>
      </c>
      <c r="T21" s="90">
        <f t="shared" si="9"/>
        <v>6662.174303416672</v>
      </c>
      <c r="U21" s="91">
        <f t="shared" si="4"/>
        <v>64.681303916666664</v>
      </c>
      <c r="V21" s="92">
        <f t="shared" si="10"/>
        <v>111.03623839027789</v>
      </c>
      <c r="W21" s="95">
        <f t="shared" si="6"/>
        <v>175.71754230694455</v>
      </c>
    </row>
    <row r="22" spans="2:24" x14ac:dyDescent="0.25">
      <c r="C22" s="93" t="s">
        <v>271</v>
      </c>
      <c r="D22" s="90"/>
      <c r="E22" s="91">
        <f t="shared" si="11"/>
        <v>0</v>
      </c>
      <c r="F22" s="92">
        <f t="shared" si="0"/>
        <v>0</v>
      </c>
      <c r="G22" s="95">
        <f t="shared" si="1"/>
        <v>0</v>
      </c>
      <c r="J22" s="93" t="s">
        <v>271</v>
      </c>
      <c r="K22" s="90">
        <f t="shared" si="7"/>
        <v>6597.4929995000057</v>
      </c>
      <c r="L22" s="91">
        <f t="shared" si="8"/>
        <v>64.681303916666664</v>
      </c>
      <c r="M22" s="92">
        <f t="shared" si="2"/>
        <v>109.95821665833343</v>
      </c>
      <c r="N22" s="95">
        <f t="shared" si="3"/>
        <v>174.63952057500009</v>
      </c>
      <c r="S22" s="93" t="s">
        <v>271</v>
      </c>
      <c r="T22" s="90">
        <f t="shared" si="9"/>
        <v>6597.4929995000057</v>
      </c>
      <c r="U22" s="91">
        <f t="shared" si="4"/>
        <v>64.681303916666664</v>
      </c>
      <c r="V22" s="92">
        <f t="shared" si="10"/>
        <v>109.95821665833343</v>
      </c>
      <c r="W22" s="95">
        <f t="shared" si="6"/>
        <v>174.63952057500009</v>
      </c>
    </row>
    <row r="23" spans="2:24" x14ac:dyDescent="0.25">
      <c r="C23" s="93" t="s">
        <v>272</v>
      </c>
      <c r="D23" s="90"/>
      <c r="E23" s="91">
        <f t="shared" si="11"/>
        <v>0</v>
      </c>
      <c r="F23" s="92">
        <f t="shared" si="0"/>
        <v>0</v>
      </c>
      <c r="G23" s="95">
        <f t="shared" si="1"/>
        <v>0</v>
      </c>
      <c r="J23" s="93" t="s">
        <v>272</v>
      </c>
      <c r="K23" s="90">
        <f t="shared" si="7"/>
        <v>6532.8116955833393</v>
      </c>
      <c r="L23" s="91">
        <f t="shared" si="8"/>
        <v>64.681303916666664</v>
      </c>
      <c r="M23" s="92">
        <f t="shared" si="2"/>
        <v>108.880194926389</v>
      </c>
      <c r="N23" s="95">
        <f t="shared" si="3"/>
        <v>173.56149884305566</v>
      </c>
      <c r="S23" s="93" t="s">
        <v>272</v>
      </c>
      <c r="T23" s="90">
        <f t="shared" si="9"/>
        <v>6532.8116955833393</v>
      </c>
      <c r="U23" s="91">
        <f t="shared" si="4"/>
        <v>64.681303916666664</v>
      </c>
      <c r="V23" s="92">
        <f t="shared" si="10"/>
        <v>108.880194926389</v>
      </c>
      <c r="W23" s="95">
        <f t="shared" si="6"/>
        <v>173.56149884305566</v>
      </c>
    </row>
    <row r="24" spans="2:24" x14ac:dyDescent="0.25">
      <c r="C24" s="93" t="s">
        <v>273</v>
      </c>
      <c r="D24" s="90"/>
      <c r="E24" s="91"/>
      <c r="F24" s="92"/>
      <c r="G24" s="95"/>
      <c r="J24" s="93" t="s">
        <v>273</v>
      </c>
      <c r="K24" s="90">
        <f t="shared" si="7"/>
        <v>6468.1303916666729</v>
      </c>
      <c r="L24" s="91">
        <f t="shared" si="8"/>
        <v>64.681303916666664</v>
      </c>
      <c r="M24" s="92">
        <f t="shared" si="2"/>
        <v>107.80217319444455</v>
      </c>
      <c r="N24" s="95">
        <f t="shared" si="3"/>
        <v>172.4834771111112</v>
      </c>
      <c r="S24" s="93" t="s">
        <v>273</v>
      </c>
      <c r="T24" s="90">
        <f t="shared" si="9"/>
        <v>6468.1303916666729</v>
      </c>
      <c r="U24" s="91">
        <f t="shared" si="4"/>
        <v>64.681303916666664</v>
      </c>
      <c r="V24" s="92">
        <f t="shared" si="10"/>
        <v>107.80217319444455</v>
      </c>
      <c r="W24" s="95">
        <f t="shared" si="6"/>
        <v>172.4834771111112</v>
      </c>
    </row>
    <row r="25" spans="2:24" x14ac:dyDescent="0.25">
      <c r="C25" s="93" t="s">
        <v>274</v>
      </c>
      <c r="D25" s="90"/>
      <c r="E25" s="91">
        <f>$D$25/120</f>
        <v>0</v>
      </c>
      <c r="F25" s="92">
        <f t="shared" si="0"/>
        <v>0</v>
      </c>
      <c r="G25" s="95">
        <f t="shared" si="1"/>
        <v>0</v>
      </c>
      <c r="J25" s="93" t="s">
        <v>274</v>
      </c>
      <c r="K25" s="90">
        <f t="shared" si="7"/>
        <v>6403.4490877500066</v>
      </c>
      <c r="L25" s="91">
        <f t="shared" si="8"/>
        <v>64.681303916666664</v>
      </c>
      <c r="M25" s="92">
        <f t="shared" si="2"/>
        <v>106.72415146250012</v>
      </c>
      <c r="N25" s="95">
        <f t="shared" si="3"/>
        <v>171.40545537916677</v>
      </c>
      <c r="S25" s="93" t="s">
        <v>274</v>
      </c>
      <c r="T25" s="90">
        <f t="shared" si="9"/>
        <v>6403.4490877500066</v>
      </c>
      <c r="U25" s="91">
        <f t="shared" si="4"/>
        <v>64.681303916666664</v>
      </c>
      <c r="V25" s="92">
        <f t="shared" si="10"/>
        <v>106.72415146250012</v>
      </c>
      <c r="W25" s="95">
        <f t="shared" ref="W25:W88" si="12">U25+V25</f>
        <v>171.40545537916677</v>
      </c>
    </row>
    <row r="26" spans="2:24" x14ac:dyDescent="0.25">
      <c r="C26" s="93" t="s">
        <v>275</v>
      </c>
      <c r="D26" s="90"/>
      <c r="E26" s="91">
        <f t="shared" ref="E26:E27" si="13">$D$25/120</f>
        <v>0</v>
      </c>
      <c r="F26" s="92">
        <f t="shared" si="0"/>
        <v>0</v>
      </c>
      <c r="G26" s="95">
        <f t="shared" si="1"/>
        <v>0</v>
      </c>
      <c r="J26" s="93" t="s">
        <v>275</v>
      </c>
      <c r="K26" s="90">
        <f t="shared" si="7"/>
        <v>6338.7677838333402</v>
      </c>
      <c r="L26" s="91">
        <f t="shared" si="8"/>
        <v>64.681303916666664</v>
      </c>
      <c r="M26" s="92">
        <f t="shared" si="2"/>
        <v>105.64612973055569</v>
      </c>
      <c r="N26" s="95">
        <f t="shared" si="3"/>
        <v>170.32743364722234</v>
      </c>
      <c r="S26" s="93" t="s">
        <v>275</v>
      </c>
      <c r="T26" s="90">
        <f t="shared" si="9"/>
        <v>6338.7677838333402</v>
      </c>
      <c r="U26" s="91">
        <f t="shared" si="4"/>
        <v>64.681303916666664</v>
      </c>
      <c r="V26" s="92">
        <f t="shared" ref="V26:V88" si="14">T26*$C$2/12</f>
        <v>105.64612973055569</v>
      </c>
      <c r="W26" s="95">
        <f t="shared" si="12"/>
        <v>170.32743364722234</v>
      </c>
    </row>
    <row r="27" spans="2:24" x14ac:dyDescent="0.25">
      <c r="C27" s="93" t="s">
        <v>276</v>
      </c>
      <c r="D27" s="90"/>
      <c r="E27" s="91">
        <f t="shared" si="13"/>
        <v>0</v>
      </c>
      <c r="F27" s="92">
        <f t="shared" si="0"/>
        <v>0</v>
      </c>
      <c r="G27" s="95">
        <f t="shared" si="1"/>
        <v>0</v>
      </c>
      <c r="H27" s="94">
        <f>SUM(F16:F27)</f>
        <v>0</v>
      </c>
      <c r="J27" s="93" t="s">
        <v>276</v>
      </c>
      <c r="K27" s="90">
        <f t="shared" si="7"/>
        <v>6274.0864799166739</v>
      </c>
      <c r="L27" s="91">
        <f t="shared" si="8"/>
        <v>64.681303916666664</v>
      </c>
      <c r="M27" s="92">
        <f t="shared" si="2"/>
        <v>104.56810799861124</v>
      </c>
      <c r="N27" s="95">
        <f t="shared" si="3"/>
        <v>169.2494119152779</v>
      </c>
      <c r="O27" s="94">
        <f>SUM(M16:M27)</f>
        <v>1325.9667302916675</v>
      </c>
      <c r="S27" s="93" t="s">
        <v>276</v>
      </c>
      <c r="T27" s="90">
        <f t="shared" si="9"/>
        <v>6274.0864799166739</v>
      </c>
      <c r="U27" s="91">
        <f t="shared" si="4"/>
        <v>64.681303916666664</v>
      </c>
      <c r="V27" s="92">
        <f t="shared" si="14"/>
        <v>104.56810799861124</v>
      </c>
      <c r="W27" s="95">
        <f t="shared" si="12"/>
        <v>169.2494119152779</v>
      </c>
      <c r="X27" s="94">
        <f>SUM(V16:V27)</f>
        <v>1325.9667302916675</v>
      </c>
    </row>
    <row r="28" spans="2:24" x14ac:dyDescent="0.25">
      <c r="B28">
        <v>2029</v>
      </c>
      <c r="C28" s="89" t="s">
        <v>265</v>
      </c>
      <c r="D28" s="90">
        <f>'№2 ИП ТС'!AB66</f>
        <v>3109.2460000000001</v>
      </c>
      <c r="E28" s="91">
        <f>$D$28/120</f>
        <v>25.910383333333336</v>
      </c>
      <c r="F28" s="92">
        <f t="shared" si="0"/>
        <v>51.820766666666678</v>
      </c>
      <c r="G28" s="97">
        <f t="shared" si="1"/>
        <v>77.731150000000014</v>
      </c>
      <c r="I28">
        <v>2029</v>
      </c>
      <c r="J28" s="89" t="s">
        <v>265</v>
      </c>
      <c r="K28" s="90">
        <f t="shared" si="7"/>
        <v>6209.4051760000075</v>
      </c>
      <c r="L28" s="91">
        <f t="shared" si="8"/>
        <v>64.681303916666664</v>
      </c>
      <c r="M28" s="92">
        <f t="shared" si="2"/>
        <v>103.49008626666681</v>
      </c>
      <c r="N28" s="97">
        <f t="shared" si="3"/>
        <v>168.17139018333347</v>
      </c>
      <c r="R28">
        <v>2029</v>
      </c>
      <c r="S28" s="89" t="s">
        <v>265</v>
      </c>
      <c r="T28" s="90">
        <f>T27-$T$4/120+D28</f>
        <v>9318.6511760000067</v>
      </c>
      <c r="U28" s="91">
        <f>$D$28/120+$T$4/120</f>
        <v>90.591687250000007</v>
      </c>
      <c r="V28" s="92">
        <f t="shared" si="14"/>
        <v>155.31085293333345</v>
      </c>
      <c r="W28" s="97">
        <f t="shared" si="12"/>
        <v>245.90254018333346</v>
      </c>
    </row>
    <row r="29" spans="2:24" x14ac:dyDescent="0.25">
      <c r="C29" s="93" t="s">
        <v>266</v>
      </c>
      <c r="D29" s="90">
        <f t="shared" ref="D29:D89" si="15">D28-E28</f>
        <v>3083.3356166666667</v>
      </c>
      <c r="E29" s="91">
        <f t="shared" ref="E29:E92" si="16">$D$28/120</f>
        <v>25.910383333333336</v>
      </c>
      <c r="F29" s="92">
        <f t="shared" si="0"/>
        <v>51.388926944444449</v>
      </c>
      <c r="G29" s="97">
        <f t="shared" si="1"/>
        <v>77.299310277777778</v>
      </c>
      <c r="J29" s="93" t="s">
        <v>266</v>
      </c>
      <c r="K29" s="90">
        <f t="shared" si="7"/>
        <v>6144.7238720833411</v>
      </c>
      <c r="L29" s="91">
        <f t="shared" si="8"/>
        <v>64.681303916666664</v>
      </c>
      <c r="M29" s="92">
        <f t="shared" si="2"/>
        <v>102.41206453472235</v>
      </c>
      <c r="N29" s="97">
        <f t="shared" si="3"/>
        <v>167.09336845138901</v>
      </c>
      <c r="S29" s="93" t="s">
        <v>266</v>
      </c>
      <c r="T29" s="90">
        <f t="shared" ref="T29:T92" si="17">T28-U28</f>
        <v>9228.0594887500065</v>
      </c>
      <c r="U29" s="91">
        <f t="shared" ref="U29:U92" si="18">$D$28/120+$T$4/120</f>
        <v>90.591687250000007</v>
      </c>
      <c r="V29" s="92">
        <f t="shared" si="14"/>
        <v>153.80099147916678</v>
      </c>
      <c r="W29" s="97">
        <f t="shared" si="12"/>
        <v>244.39267872916679</v>
      </c>
    </row>
    <row r="30" spans="2:24" x14ac:dyDescent="0.25">
      <c r="C30" s="93" t="s">
        <v>267</v>
      </c>
      <c r="D30" s="90">
        <f t="shared" si="15"/>
        <v>3057.4252333333334</v>
      </c>
      <c r="E30" s="91">
        <f t="shared" si="16"/>
        <v>25.910383333333336</v>
      </c>
      <c r="F30" s="92">
        <f t="shared" si="0"/>
        <v>50.957087222222221</v>
      </c>
      <c r="G30" s="97">
        <f t="shared" si="1"/>
        <v>76.867470555555556</v>
      </c>
      <c r="J30" s="93" t="s">
        <v>267</v>
      </c>
      <c r="K30" s="90">
        <f t="shared" si="7"/>
        <v>6080.0425681666748</v>
      </c>
      <c r="L30" s="91">
        <f t="shared" si="8"/>
        <v>64.681303916666664</v>
      </c>
      <c r="M30" s="92">
        <f t="shared" si="2"/>
        <v>101.33404280277792</v>
      </c>
      <c r="N30" s="97">
        <f t="shared" si="3"/>
        <v>166.01534671944458</v>
      </c>
      <c r="S30" s="93" t="s">
        <v>267</v>
      </c>
      <c r="T30" s="90">
        <f t="shared" si="17"/>
        <v>9137.4678015000063</v>
      </c>
      <c r="U30" s="91">
        <f t="shared" si="18"/>
        <v>90.591687250000007</v>
      </c>
      <c r="V30" s="92">
        <f t="shared" si="14"/>
        <v>152.29113002500011</v>
      </c>
      <c r="W30" s="97">
        <f t="shared" si="12"/>
        <v>242.88281727500012</v>
      </c>
    </row>
    <row r="31" spans="2:24" x14ac:dyDescent="0.25">
      <c r="C31" s="93" t="s">
        <v>268</v>
      </c>
      <c r="D31" s="90">
        <f t="shared" si="15"/>
        <v>3031.51485</v>
      </c>
      <c r="E31" s="91">
        <f t="shared" si="16"/>
        <v>25.910383333333336</v>
      </c>
      <c r="F31" s="92">
        <f t="shared" si="0"/>
        <v>50.525247500000006</v>
      </c>
      <c r="G31" s="97">
        <f t="shared" si="1"/>
        <v>76.435630833333335</v>
      </c>
      <c r="J31" s="93" t="s">
        <v>268</v>
      </c>
      <c r="K31" s="90">
        <f t="shared" si="7"/>
        <v>6015.3612642500084</v>
      </c>
      <c r="L31" s="91">
        <f t="shared" si="8"/>
        <v>64.681303916666664</v>
      </c>
      <c r="M31" s="92">
        <f t="shared" si="2"/>
        <v>100.25602107083347</v>
      </c>
      <c r="N31" s="97">
        <f t="shared" si="3"/>
        <v>164.93732498750012</v>
      </c>
      <c r="S31" s="93" t="s">
        <v>268</v>
      </c>
      <c r="T31" s="90">
        <f t="shared" si="17"/>
        <v>9046.8761142500061</v>
      </c>
      <c r="U31" s="91">
        <f t="shared" si="18"/>
        <v>90.591687250000007</v>
      </c>
      <c r="V31" s="92">
        <f t="shared" si="14"/>
        <v>150.78126857083345</v>
      </c>
      <c r="W31" s="97">
        <f t="shared" si="12"/>
        <v>241.37295582083345</v>
      </c>
    </row>
    <row r="32" spans="2:24" x14ac:dyDescent="0.25">
      <c r="C32" s="93" t="s">
        <v>269</v>
      </c>
      <c r="D32" s="90">
        <f t="shared" si="15"/>
        <v>3005.6044666666667</v>
      </c>
      <c r="E32" s="91">
        <f t="shared" si="16"/>
        <v>25.910383333333336</v>
      </c>
      <c r="F32" s="92">
        <f t="shared" si="0"/>
        <v>50.093407777777777</v>
      </c>
      <c r="G32" s="97">
        <f t="shared" si="1"/>
        <v>76.003791111111113</v>
      </c>
      <c r="J32" s="93" t="s">
        <v>269</v>
      </c>
      <c r="K32" s="90">
        <f t="shared" si="7"/>
        <v>5950.679960333342</v>
      </c>
      <c r="L32" s="91">
        <f t="shared" si="8"/>
        <v>64.681303916666664</v>
      </c>
      <c r="M32" s="92">
        <f t="shared" si="2"/>
        <v>99.177999338889038</v>
      </c>
      <c r="N32" s="97">
        <f t="shared" si="3"/>
        <v>163.85930325555569</v>
      </c>
      <c r="S32" s="93" t="s">
        <v>269</v>
      </c>
      <c r="T32" s="90">
        <f t="shared" si="17"/>
        <v>8956.284427000006</v>
      </c>
      <c r="U32" s="91">
        <f t="shared" si="18"/>
        <v>90.591687250000007</v>
      </c>
      <c r="V32" s="92">
        <f t="shared" si="14"/>
        <v>149.27140711666678</v>
      </c>
      <c r="W32" s="97">
        <f t="shared" si="12"/>
        <v>239.86309436666679</v>
      </c>
    </row>
    <row r="33" spans="2:24" x14ac:dyDescent="0.25">
      <c r="C33" s="93" t="s">
        <v>270</v>
      </c>
      <c r="D33" s="90">
        <f t="shared" si="15"/>
        <v>2979.6940833333333</v>
      </c>
      <c r="E33" s="91">
        <f t="shared" si="16"/>
        <v>25.910383333333336</v>
      </c>
      <c r="F33" s="92">
        <f t="shared" si="0"/>
        <v>49.661568055555556</v>
      </c>
      <c r="G33" s="97">
        <f t="shared" si="1"/>
        <v>75.571951388888891</v>
      </c>
      <c r="J33" s="93" t="s">
        <v>270</v>
      </c>
      <c r="K33" s="90">
        <f t="shared" si="7"/>
        <v>5885.9986564166757</v>
      </c>
      <c r="L33" s="91">
        <f t="shared" si="8"/>
        <v>64.681303916666664</v>
      </c>
      <c r="M33" s="92">
        <f t="shared" si="2"/>
        <v>98.099977606944606</v>
      </c>
      <c r="N33" s="97">
        <f t="shared" si="3"/>
        <v>162.78128152361126</v>
      </c>
      <c r="S33" s="93" t="s">
        <v>270</v>
      </c>
      <c r="T33" s="90">
        <f t="shared" si="17"/>
        <v>8865.6927397500058</v>
      </c>
      <c r="U33" s="91">
        <f t="shared" si="18"/>
        <v>90.591687250000007</v>
      </c>
      <c r="V33" s="92">
        <f t="shared" si="14"/>
        <v>147.76154566250011</v>
      </c>
      <c r="W33" s="97">
        <f t="shared" si="12"/>
        <v>238.35323291250012</v>
      </c>
    </row>
    <row r="34" spans="2:24" x14ac:dyDescent="0.25">
      <c r="C34" s="93" t="s">
        <v>271</v>
      </c>
      <c r="D34" s="90">
        <f t="shared" si="15"/>
        <v>2953.7837</v>
      </c>
      <c r="E34" s="91">
        <f t="shared" si="16"/>
        <v>25.910383333333336</v>
      </c>
      <c r="F34" s="92">
        <f t="shared" si="0"/>
        <v>49.229728333333334</v>
      </c>
      <c r="G34" s="97">
        <f t="shared" si="1"/>
        <v>75.14011166666667</v>
      </c>
      <c r="J34" s="93" t="s">
        <v>271</v>
      </c>
      <c r="K34" s="90">
        <f t="shared" si="7"/>
        <v>5821.3173525000093</v>
      </c>
      <c r="L34" s="91">
        <f t="shared" si="8"/>
        <v>64.681303916666664</v>
      </c>
      <c r="M34" s="92">
        <f t="shared" si="2"/>
        <v>97.02195587500016</v>
      </c>
      <c r="N34" s="97">
        <f t="shared" si="3"/>
        <v>161.70325979166682</v>
      </c>
      <c r="S34" s="93" t="s">
        <v>271</v>
      </c>
      <c r="T34" s="90">
        <f t="shared" si="17"/>
        <v>8775.1010525000056</v>
      </c>
      <c r="U34" s="91">
        <f t="shared" si="18"/>
        <v>90.591687250000007</v>
      </c>
      <c r="V34" s="92">
        <f t="shared" si="14"/>
        <v>146.25168420833344</v>
      </c>
      <c r="W34" s="97">
        <f t="shared" si="12"/>
        <v>236.84337145833345</v>
      </c>
    </row>
    <row r="35" spans="2:24" x14ac:dyDescent="0.25">
      <c r="C35" s="93" t="s">
        <v>272</v>
      </c>
      <c r="D35" s="90">
        <f t="shared" si="15"/>
        <v>2927.8733166666666</v>
      </c>
      <c r="E35" s="91">
        <f t="shared" si="16"/>
        <v>25.910383333333336</v>
      </c>
      <c r="F35" s="92">
        <f t="shared" si="0"/>
        <v>48.797888611111112</v>
      </c>
      <c r="G35" s="97">
        <f t="shared" si="1"/>
        <v>74.708271944444448</v>
      </c>
      <c r="J35" s="93" t="s">
        <v>272</v>
      </c>
      <c r="K35" s="90">
        <f t="shared" si="7"/>
        <v>5756.6360485833429</v>
      </c>
      <c r="L35" s="91">
        <f t="shared" si="8"/>
        <v>64.681303916666664</v>
      </c>
      <c r="M35" s="92">
        <f t="shared" si="2"/>
        <v>95.943934143055728</v>
      </c>
      <c r="N35" s="97">
        <f t="shared" si="3"/>
        <v>160.62523805972239</v>
      </c>
      <c r="S35" s="93" t="s">
        <v>272</v>
      </c>
      <c r="T35" s="90">
        <f t="shared" si="17"/>
        <v>8684.5093652500054</v>
      </c>
      <c r="U35" s="91">
        <f t="shared" si="18"/>
        <v>90.591687250000007</v>
      </c>
      <c r="V35" s="92">
        <f t="shared" si="14"/>
        <v>144.74182275416675</v>
      </c>
      <c r="W35" s="97">
        <f t="shared" si="12"/>
        <v>235.33351000416675</v>
      </c>
    </row>
    <row r="36" spans="2:24" x14ac:dyDescent="0.25">
      <c r="C36" s="93" t="s">
        <v>273</v>
      </c>
      <c r="D36" s="90">
        <f t="shared" si="15"/>
        <v>2901.9629333333332</v>
      </c>
      <c r="E36" s="91">
        <f t="shared" si="16"/>
        <v>25.910383333333336</v>
      </c>
      <c r="F36" s="92">
        <f t="shared" si="0"/>
        <v>48.366048888888891</v>
      </c>
      <c r="G36" s="97">
        <f t="shared" si="1"/>
        <v>74.276432222222226</v>
      </c>
      <c r="J36" s="93" t="s">
        <v>273</v>
      </c>
      <c r="K36" s="90">
        <f t="shared" si="7"/>
        <v>5691.9547446666766</v>
      </c>
      <c r="L36" s="91">
        <f t="shared" si="8"/>
        <v>64.681303916666664</v>
      </c>
      <c r="M36" s="92">
        <f t="shared" si="2"/>
        <v>94.865912411111267</v>
      </c>
      <c r="N36" s="97">
        <f t="shared" si="3"/>
        <v>159.54721632777793</v>
      </c>
      <c r="S36" s="93" t="s">
        <v>273</v>
      </c>
      <c r="T36" s="90">
        <f t="shared" si="17"/>
        <v>8593.9176780000053</v>
      </c>
      <c r="U36" s="91">
        <f t="shared" si="18"/>
        <v>90.591687250000007</v>
      </c>
      <c r="V36" s="92">
        <f t="shared" si="14"/>
        <v>143.23196130000011</v>
      </c>
      <c r="W36" s="97">
        <f t="shared" si="12"/>
        <v>233.82364855000012</v>
      </c>
    </row>
    <row r="37" spans="2:24" x14ac:dyDescent="0.25">
      <c r="C37" s="93" t="s">
        <v>274</v>
      </c>
      <c r="D37" s="90">
        <f t="shared" si="15"/>
        <v>2876.0525499999999</v>
      </c>
      <c r="E37" s="91">
        <f t="shared" si="16"/>
        <v>25.910383333333336</v>
      </c>
      <c r="F37" s="92">
        <f t="shared" si="0"/>
        <v>47.934209166666669</v>
      </c>
      <c r="G37" s="97">
        <f t="shared" si="1"/>
        <v>73.844592500000005</v>
      </c>
      <c r="J37" s="93" t="s">
        <v>274</v>
      </c>
      <c r="K37" s="90">
        <f t="shared" si="7"/>
        <v>5627.2734407500102</v>
      </c>
      <c r="L37" s="91">
        <f t="shared" si="8"/>
        <v>64.681303916666664</v>
      </c>
      <c r="M37" s="92">
        <f t="shared" si="2"/>
        <v>93.787890679166836</v>
      </c>
      <c r="N37" s="97">
        <f t="shared" si="3"/>
        <v>158.4691945958335</v>
      </c>
      <c r="S37" s="93" t="s">
        <v>274</v>
      </c>
      <c r="T37" s="90">
        <f t="shared" si="17"/>
        <v>8503.3259907500051</v>
      </c>
      <c r="U37" s="91">
        <f t="shared" si="18"/>
        <v>90.591687250000007</v>
      </c>
      <c r="V37" s="92">
        <f t="shared" si="14"/>
        <v>141.72209984583341</v>
      </c>
      <c r="W37" s="97">
        <f t="shared" si="12"/>
        <v>232.31378709583342</v>
      </c>
    </row>
    <row r="38" spans="2:24" x14ac:dyDescent="0.25">
      <c r="C38" s="93" t="s">
        <v>275</v>
      </c>
      <c r="D38" s="90">
        <f t="shared" si="15"/>
        <v>2850.1421666666665</v>
      </c>
      <c r="E38" s="91">
        <f t="shared" si="16"/>
        <v>25.910383333333336</v>
      </c>
      <c r="F38" s="92">
        <f t="shared" si="0"/>
        <v>47.50236944444444</v>
      </c>
      <c r="G38" s="97">
        <f t="shared" si="1"/>
        <v>73.412752777777769</v>
      </c>
      <c r="J38" s="93" t="s">
        <v>275</v>
      </c>
      <c r="K38" s="90">
        <f t="shared" si="7"/>
        <v>5562.5921368333438</v>
      </c>
      <c r="L38" s="91">
        <f t="shared" si="8"/>
        <v>64.681303916666664</v>
      </c>
      <c r="M38" s="92">
        <f t="shared" si="2"/>
        <v>92.709868947222404</v>
      </c>
      <c r="N38" s="97">
        <f t="shared" si="3"/>
        <v>157.39117286388907</v>
      </c>
      <c r="S38" s="93" t="s">
        <v>275</v>
      </c>
      <c r="T38" s="90">
        <f t="shared" si="17"/>
        <v>8412.7343035000049</v>
      </c>
      <c r="U38" s="91">
        <f t="shared" si="18"/>
        <v>90.591687250000007</v>
      </c>
      <c r="V38" s="92">
        <f t="shared" si="14"/>
        <v>140.21223839166677</v>
      </c>
      <c r="W38" s="97">
        <f t="shared" si="12"/>
        <v>230.80392564166678</v>
      </c>
    </row>
    <row r="39" spans="2:24" x14ac:dyDescent="0.25">
      <c r="C39" s="93" t="s">
        <v>276</v>
      </c>
      <c r="D39" s="90">
        <f t="shared" si="15"/>
        <v>2824.2317833333332</v>
      </c>
      <c r="E39" s="91">
        <f t="shared" si="16"/>
        <v>25.910383333333336</v>
      </c>
      <c r="F39" s="92">
        <f t="shared" si="0"/>
        <v>47.070529722222226</v>
      </c>
      <c r="G39" s="97">
        <f t="shared" si="1"/>
        <v>72.980913055555561</v>
      </c>
      <c r="H39" s="94">
        <f>SUM(F28:F39)</f>
        <v>593.34777833333328</v>
      </c>
      <c r="J39" s="93" t="s">
        <v>276</v>
      </c>
      <c r="K39" s="90">
        <f t="shared" si="7"/>
        <v>5497.9108329166775</v>
      </c>
      <c r="L39" s="91">
        <f t="shared" si="8"/>
        <v>64.681303916666664</v>
      </c>
      <c r="M39" s="92">
        <f t="shared" si="2"/>
        <v>91.631847215277958</v>
      </c>
      <c r="N39" s="97">
        <f t="shared" si="3"/>
        <v>156.31315113194461</v>
      </c>
      <c r="O39" s="94">
        <f>SUM(M28:M39)</f>
        <v>1170.7316008916684</v>
      </c>
      <c r="S39" s="93" t="s">
        <v>276</v>
      </c>
      <c r="T39" s="90">
        <f t="shared" si="17"/>
        <v>8322.1426162500047</v>
      </c>
      <c r="U39" s="91">
        <f t="shared" si="18"/>
        <v>90.591687250000007</v>
      </c>
      <c r="V39" s="92">
        <f t="shared" si="14"/>
        <v>138.70237693750008</v>
      </c>
      <c r="W39" s="97">
        <f t="shared" si="12"/>
        <v>229.29406418750008</v>
      </c>
      <c r="X39" s="94">
        <f>SUM(V28:V39)</f>
        <v>1764.0793792250013</v>
      </c>
    </row>
    <row r="40" spans="2:24" x14ac:dyDescent="0.25">
      <c r="B40">
        <v>2030</v>
      </c>
      <c r="C40" s="89" t="s">
        <v>265</v>
      </c>
      <c r="D40" s="90">
        <f t="shared" si="15"/>
        <v>2798.3213999999998</v>
      </c>
      <c r="E40" s="91">
        <f t="shared" si="16"/>
        <v>25.910383333333336</v>
      </c>
      <c r="F40" s="92">
        <f t="shared" si="0"/>
        <v>46.638689999999997</v>
      </c>
      <c r="G40" s="95">
        <f t="shared" si="1"/>
        <v>72.549073333333325</v>
      </c>
      <c r="I40">
        <v>2030</v>
      </c>
      <c r="J40" s="89" t="s">
        <v>265</v>
      </c>
      <c r="K40" s="90">
        <f t="shared" si="7"/>
        <v>5433.2295290000111</v>
      </c>
      <c r="L40" s="91">
        <f t="shared" si="8"/>
        <v>64.681303916666664</v>
      </c>
      <c r="M40" s="92">
        <f t="shared" si="2"/>
        <v>90.553825483333526</v>
      </c>
      <c r="N40" s="95">
        <f t="shared" si="3"/>
        <v>155.23512940000018</v>
      </c>
      <c r="R40">
        <v>2030</v>
      </c>
      <c r="S40" s="89" t="s">
        <v>265</v>
      </c>
      <c r="T40" s="90">
        <f t="shared" si="17"/>
        <v>8231.5509290000045</v>
      </c>
      <c r="U40" s="91">
        <f t="shared" si="18"/>
        <v>90.591687250000007</v>
      </c>
      <c r="V40" s="92">
        <f t="shared" si="14"/>
        <v>137.19251548333341</v>
      </c>
      <c r="W40" s="95">
        <f t="shared" si="12"/>
        <v>227.78420273333342</v>
      </c>
    </row>
    <row r="41" spans="2:24" x14ac:dyDescent="0.25">
      <c r="C41" s="93" t="s">
        <v>266</v>
      </c>
      <c r="D41" s="90">
        <f t="shared" si="15"/>
        <v>2772.4110166666665</v>
      </c>
      <c r="E41" s="91">
        <f t="shared" si="16"/>
        <v>25.910383333333336</v>
      </c>
      <c r="F41" s="92">
        <f t="shared" si="0"/>
        <v>46.206850277777782</v>
      </c>
      <c r="G41" s="95">
        <f t="shared" si="1"/>
        <v>72.117233611111118</v>
      </c>
      <c r="J41" s="93" t="s">
        <v>266</v>
      </c>
      <c r="K41" s="90">
        <f t="shared" si="7"/>
        <v>5368.5482250833447</v>
      </c>
      <c r="L41" s="91">
        <f t="shared" si="8"/>
        <v>64.681303916666664</v>
      </c>
      <c r="M41" s="92">
        <f t="shared" si="2"/>
        <v>89.47580375138908</v>
      </c>
      <c r="N41" s="95">
        <f t="shared" si="3"/>
        <v>154.15710766805574</v>
      </c>
      <c r="S41" s="93" t="s">
        <v>266</v>
      </c>
      <c r="T41" s="90">
        <f t="shared" si="17"/>
        <v>8140.9592417500044</v>
      </c>
      <c r="U41" s="91">
        <f t="shared" si="18"/>
        <v>90.591687250000007</v>
      </c>
      <c r="V41" s="92">
        <f t="shared" si="14"/>
        <v>135.68265402916674</v>
      </c>
      <c r="W41" s="95">
        <f t="shared" si="12"/>
        <v>226.27434127916675</v>
      </c>
    </row>
    <row r="42" spans="2:24" x14ac:dyDescent="0.25">
      <c r="C42" s="93" t="s">
        <v>267</v>
      </c>
      <c r="D42" s="90">
        <f t="shared" si="15"/>
        <v>2746.5006333333331</v>
      </c>
      <c r="E42" s="91">
        <f t="shared" si="16"/>
        <v>25.910383333333336</v>
      </c>
      <c r="F42" s="92">
        <f t="shared" si="0"/>
        <v>45.775010555555554</v>
      </c>
      <c r="G42" s="95">
        <f t="shared" si="1"/>
        <v>71.685393888888882</v>
      </c>
      <c r="J42" s="93" t="s">
        <v>267</v>
      </c>
      <c r="K42" s="90">
        <f t="shared" si="7"/>
        <v>5303.8669211666784</v>
      </c>
      <c r="L42" s="91">
        <f t="shared" si="8"/>
        <v>64.681303916666664</v>
      </c>
      <c r="M42" s="92">
        <f t="shared" si="2"/>
        <v>88.397782019444648</v>
      </c>
      <c r="N42" s="95">
        <f t="shared" si="3"/>
        <v>153.07908593611131</v>
      </c>
      <c r="S42" s="93" t="s">
        <v>267</v>
      </c>
      <c r="T42" s="90">
        <f t="shared" si="17"/>
        <v>8050.3675545000042</v>
      </c>
      <c r="U42" s="91">
        <f t="shared" si="18"/>
        <v>90.591687250000007</v>
      </c>
      <c r="V42" s="92">
        <f t="shared" si="14"/>
        <v>134.17279257500007</v>
      </c>
      <c r="W42" s="95">
        <f t="shared" si="12"/>
        <v>224.76447982500008</v>
      </c>
    </row>
    <row r="43" spans="2:24" x14ac:dyDescent="0.25">
      <c r="C43" s="93" t="s">
        <v>268</v>
      </c>
      <c r="D43" s="90">
        <f t="shared" si="15"/>
        <v>2720.5902499999997</v>
      </c>
      <c r="E43" s="91">
        <f t="shared" si="16"/>
        <v>25.910383333333336</v>
      </c>
      <c r="F43" s="92">
        <f t="shared" si="0"/>
        <v>45.343170833333325</v>
      </c>
      <c r="G43" s="95">
        <f t="shared" si="1"/>
        <v>71.25355416666666</v>
      </c>
      <c r="J43" s="93" t="s">
        <v>268</v>
      </c>
      <c r="K43" s="90">
        <f t="shared" si="7"/>
        <v>5239.185617250012</v>
      </c>
      <c r="L43" s="91">
        <f t="shared" si="8"/>
        <v>64.681303916666664</v>
      </c>
      <c r="M43" s="92">
        <f t="shared" si="2"/>
        <v>87.319760287500216</v>
      </c>
      <c r="N43" s="95">
        <f t="shared" si="3"/>
        <v>152.00106420416688</v>
      </c>
      <c r="S43" s="93" t="s">
        <v>268</v>
      </c>
      <c r="T43" s="90">
        <f t="shared" si="17"/>
        <v>7959.775867250004</v>
      </c>
      <c r="U43" s="91">
        <f t="shared" si="18"/>
        <v>90.591687250000007</v>
      </c>
      <c r="V43" s="92">
        <f t="shared" si="14"/>
        <v>132.66293112083341</v>
      </c>
      <c r="W43" s="95">
        <f t="shared" si="12"/>
        <v>223.25461837083341</v>
      </c>
    </row>
    <row r="44" spans="2:24" x14ac:dyDescent="0.25">
      <c r="C44" s="93" t="s">
        <v>269</v>
      </c>
      <c r="D44" s="90">
        <f t="shared" si="15"/>
        <v>2694.6798666666664</v>
      </c>
      <c r="E44" s="91">
        <f t="shared" si="16"/>
        <v>25.910383333333336</v>
      </c>
      <c r="F44" s="92">
        <f t="shared" si="0"/>
        <v>44.91133111111111</v>
      </c>
      <c r="G44" s="95">
        <f t="shared" si="1"/>
        <v>70.821714444444439</v>
      </c>
      <c r="J44" s="93" t="s">
        <v>269</v>
      </c>
      <c r="K44" s="90">
        <f t="shared" si="7"/>
        <v>5174.5043133333456</v>
      </c>
      <c r="L44" s="91">
        <f t="shared" si="8"/>
        <v>64.681303916666664</v>
      </c>
      <c r="M44" s="92">
        <f t="shared" si="2"/>
        <v>86.241738555555756</v>
      </c>
      <c r="N44" s="95">
        <f t="shared" si="3"/>
        <v>150.92304247222242</v>
      </c>
      <c r="S44" s="93" t="s">
        <v>269</v>
      </c>
      <c r="T44" s="90">
        <f t="shared" si="17"/>
        <v>7869.1841800000038</v>
      </c>
      <c r="U44" s="91">
        <f t="shared" si="18"/>
        <v>90.591687250000007</v>
      </c>
      <c r="V44" s="92">
        <f t="shared" si="14"/>
        <v>131.15306966666674</v>
      </c>
      <c r="W44" s="95">
        <f t="shared" si="12"/>
        <v>221.74475691666674</v>
      </c>
    </row>
    <row r="45" spans="2:24" x14ac:dyDescent="0.25">
      <c r="C45" s="93" t="s">
        <v>270</v>
      </c>
      <c r="D45" s="90">
        <f t="shared" si="15"/>
        <v>2668.769483333333</v>
      </c>
      <c r="E45" s="91">
        <f t="shared" si="16"/>
        <v>25.910383333333336</v>
      </c>
      <c r="F45" s="92">
        <f t="shared" si="0"/>
        <v>44.479491388888881</v>
      </c>
      <c r="G45" s="95">
        <f t="shared" si="1"/>
        <v>70.389874722222217</v>
      </c>
      <c r="J45" s="93" t="s">
        <v>270</v>
      </c>
      <c r="K45" s="90">
        <f t="shared" si="7"/>
        <v>5109.8230094166793</v>
      </c>
      <c r="L45" s="91">
        <f t="shared" si="8"/>
        <v>64.681303916666664</v>
      </c>
      <c r="M45" s="92">
        <f t="shared" si="2"/>
        <v>85.163716823611324</v>
      </c>
      <c r="N45" s="95">
        <f t="shared" si="3"/>
        <v>149.84502074027799</v>
      </c>
      <c r="S45" s="93" t="s">
        <v>270</v>
      </c>
      <c r="T45" s="90">
        <f t="shared" si="17"/>
        <v>7778.5924927500037</v>
      </c>
      <c r="U45" s="91">
        <f t="shared" si="18"/>
        <v>90.591687250000007</v>
      </c>
      <c r="V45" s="92">
        <f t="shared" si="14"/>
        <v>129.64320821250007</v>
      </c>
      <c r="W45" s="95">
        <f t="shared" si="12"/>
        <v>220.23489546250008</v>
      </c>
    </row>
    <row r="46" spans="2:24" x14ac:dyDescent="0.25">
      <c r="C46" s="93" t="s">
        <v>271</v>
      </c>
      <c r="D46" s="90">
        <f t="shared" si="15"/>
        <v>2642.8590999999997</v>
      </c>
      <c r="E46" s="91">
        <f t="shared" si="16"/>
        <v>25.910383333333336</v>
      </c>
      <c r="F46" s="92">
        <f t="shared" si="0"/>
        <v>44.047651666666667</v>
      </c>
      <c r="G46" s="95">
        <f t="shared" si="1"/>
        <v>69.958034999999995</v>
      </c>
      <c r="J46" s="93" t="s">
        <v>271</v>
      </c>
      <c r="K46" s="90">
        <f t="shared" si="7"/>
        <v>5045.1417055000129</v>
      </c>
      <c r="L46" s="91">
        <f t="shared" si="8"/>
        <v>64.681303916666664</v>
      </c>
      <c r="M46" s="92">
        <f t="shared" si="2"/>
        <v>84.085695091666892</v>
      </c>
      <c r="N46" s="95">
        <f t="shared" si="3"/>
        <v>148.76699900833356</v>
      </c>
      <c r="S46" s="93" t="s">
        <v>271</v>
      </c>
      <c r="T46" s="90">
        <f t="shared" si="17"/>
        <v>7688.0008055000035</v>
      </c>
      <c r="U46" s="91">
        <f t="shared" si="18"/>
        <v>90.591687250000007</v>
      </c>
      <c r="V46" s="92">
        <f t="shared" si="14"/>
        <v>128.1333467583334</v>
      </c>
      <c r="W46" s="95">
        <f t="shared" si="12"/>
        <v>218.72503400833341</v>
      </c>
    </row>
    <row r="47" spans="2:24" x14ac:dyDescent="0.25">
      <c r="C47" s="93" t="s">
        <v>272</v>
      </c>
      <c r="D47" s="90">
        <f t="shared" si="15"/>
        <v>2616.9487166666663</v>
      </c>
      <c r="E47" s="91">
        <f t="shared" si="16"/>
        <v>25.910383333333336</v>
      </c>
      <c r="F47" s="92">
        <f t="shared" si="0"/>
        <v>43.615811944444438</v>
      </c>
      <c r="G47" s="95">
        <f t="shared" si="1"/>
        <v>69.526195277777774</v>
      </c>
      <c r="J47" s="93" t="s">
        <v>272</v>
      </c>
      <c r="K47" s="90">
        <f t="shared" si="7"/>
        <v>4980.4604015833465</v>
      </c>
      <c r="L47" s="91">
        <f t="shared" si="8"/>
        <v>64.681303916666664</v>
      </c>
      <c r="M47" s="92">
        <f t="shared" si="2"/>
        <v>83.007673359722446</v>
      </c>
      <c r="N47" s="95">
        <f t="shared" si="3"/>
        <v>147.6889772763891</v>
      </c>
      <c r="S47" s="93" t="s">
        <v>272</v>
      </c>
      <c r="T47" s="90">
        <f t="shared" si="17"/>
        <v>7597.4091182500033</v>
      </c>
      <c r="U47" s="91">
        <f t="shared" si="18"/>
        <v>90.591687250000007</v>
      </c>
      <c r="V47" s="92">
        <f t="shared" si="14"/>
        <v>126.62348530416672</v>
      </c>
      <c r="W47" s="95">
        <f t="shared" si="12"/>
        <v>217.21517255416671</v>
      </c>
    </row>
    <row r="48" spans="2:24" x14ac:dyDescent="0.25">
      <c r="C48" s="93" t="s">
        <v>273</v>
      </c>
      <c r="D48" s="90">
        <f t="shared" si="15"/>
        <v>2591.038333333333</v>
      </c>
      <c r="E48" s="91">
        <f t="shared" si="16"/>
        <v>25.910383333333336</v>
      </c>
      <c r="F48" s="92">
        <f t="shared" si="0"/>
        <v>43.183972222222216</v>
      </c>
      <c r="G48" s="95">
        <f t="shared" si="1"/>
        <v>69.094355555555552</v>
      </c>
      <c r="J48" s="93" t="s">
        <v>273</v>
      </c>
      <c r="K48" s="90">
        <f t="shared" si="7"/>
        <v>4915.7790976666802</v>
      </c>
      <c r="L48" s="91">
        <f t="shared" si="8"/>
        <v>64.681303916666664</v>
      </c>
      <c r="M48" s="92">
        <f t="shared" si="2"/>
        <v>81.929651627778</v>
      </c>
      <c r="N48" s="95">
        <f t="shared" si="3"/>
        <v>146.61095554444466</v>
      </c>
      <c r="S48" s="93" t="s">
        <v>273</v>
      </c>
      <c r="T48" s="90">
        <f t="shared" si="17"/>
        <v>7506.8174310000031</v>
      </c>
      <c r="U48" s="91">
        <f t="shared" si="18"/>
        <v>90.591687250000007</v>
      </c>
      <c r="V48" s="92">
        <f t="shared" si="14"/>
        <v>125.11362385000007</v>
      </c>
      <c r="W48" s="95">
        <f t="shared" si="12"/>
        <v>215.70531110000007</v>
      </c>
    </row>
    <row r="49" spans="2:24" x14ac:dyDescent="0.25">
      <c r="C49" s="93" t="s">
        <v>274</v>
      </c>
      <c r="D49" s="90">
        <f t="shared" si="15"/>
        <v>2565.1279499999996</v>
      </c>
      <c r="E49" s="91">
        <f t="shared" si="16"/>
        <v>25.910383333333336</v>
      </c>
      <c r="F49" s="92">
        <f t="shared" si="0"/>
        <v>42.752132499999995</v>
      </c>
      <c r="G49" s="95">
        <f t="shared" si="1"/>
        <v>68.66251583333333</v>
      </c>
      <c r="J49" s="93" t="s">
        <v>274</v>
      </c>
      <c r="K49" s="90">
        <f t="shared" si="7"/>
        <v>4851.0977937500138</v>
      </c>
      <c r="L49" s="91">
        <f t="shared" si="8"/>
        <v>64.681303916666664</v>
      </c>
      <c r="M49" s="92">
        <f t="shared" si="2"/>
        <v>80.851629895833568</v>
      </c>
      <c r="N49" s="95">
        <f t="shared" si="3"/>
        <v>145.53293381250023</v>
      </c>
      <c r="S49" s="93" t="s">
        <v>274</v>
      </c>
      <c r="T49" s="90">
        <f t="shared" si="17"/>
        <v>7416.2257437500029</v>
      </c>
      <c r="U49" s="91">
        <f t="shared" si="18"/>
        <v>90.591687250000007</v>
      </c>
      <c r="V49" s="92">
        <f t="shared" si="14"/>
        <v>123.60376239583339</v>
      </c>
      <c r="W49" s="95">
        <f t="shared" si="12"/>
        <v>214.19544964583338</v>
      </c>
    </row>
    <row r="50" spans="2:24" x14ac:dyDescent="0.25">
      <c r="C50" s="93" t="s">
        <v>275</v>
      </c>
      <c r="D50" s="90">
        <f t="shared" si="15"/>
        <v>2539.2175666666662</v>
      </c>
      <c r="E50" s="91">
        <f t="shared" si="16"/>
        <v>25.910383333333336</v>
      </c>
      <c r="F50" s="92">
        <f t="shared" si="0"/>
        <v>42.320292777777773</v>
      </c>
      <c r="G50" s="95">
        <f t="shared" si="1"/>
        <v>68.230676111111109</v>
      </c>
      <c r="J50" s="93" t="s">
        <v>275</v>
      </c>
      <c r="K50" s="90">
        <f t="shared" si="7"/>
        <v>4786.4164898333474</v>
      </c>
      <c r="L50" s="91">
        <f t="shared" si="8"/>
        <v>64.681303916666664</v>
      </c>
      <c r="M50" s="92">
        <f t="shared" si="2"/>
        <v>79.773608163889136</v>
      </c>
      <c r="N50" s="95">
        <f t="shared" si="3"/>
        <v>144.4549120805558</v>
      </c>
      <c r="S50" s="93" t="s">
        <v>275</v>
      </c>
      <c r="T50" s="90">
        <f t="shared" si="17"/>
        <v>7325.6340565000028</v>
      </c>
      <c r="U50" s="91">
        <f t="shared" si="18"/>
        <v>90.591687250000007</v>
      </c>
      <c r="V50" s="92">
        <f t="shared" si="14"/>
        <v>122.09390094166672</v>
      </c>
      <c r="W50" s="95">
        <f t="shared" si="12"/>
        <v>212.68558819166674</v>
      </c>
    </row>
    <row r="51" spans="2:24" x14ac:dyDescent="0.25">
      <c r="C51" s="93" t="s">
        <v>276</v>
      </c>
      <c r="D51" s="90">
        <f t="shared" si="15"/>
        <v>2513.3071833333329</v>
      </c>
      <c r="E51" s="91">
        <f t="shared" si="16"/>
        <v>25.910383333333336</v>
      </c>
      <c r="F51" s="92">
        <f t="shared" si="0"/>
        <v>41.888453055555551</v>
      </c>
      <c r="G51" s="95">
        <f t="shared" si="1"/>
        <v>67.798836388888887</v>
      </c>
      <c r="H51" s="94">
        <f>SUM(F40:F51)</f>
        <v>531.16285833333325</v>
      </c>
      <c r="J51" s="93" t="s">
        <v>276</v>
      </c>
      <c r="K51" s="90">
        <f t="shared" si="7"/>
        <v>4721.7351859166811</v>
      </c>
      <c r="L51" s="91">
        <f t="shared" si="8"/>
        <v>64.681303916666664</v>
      </c>
      <c r="M51" s="92">
        <f t="shared" si="2"/>
        <v>78.69558643194469</v>
      </c>
      <c r="N51" s="95">
        <f t="shared" si="3"/>
        <v>143.37689034861137</v>
      </c>
      <c r="O51" s="94">
        <f>SUM(M40:M51)</f>
        <v>1015.4964714916691</v>
      </c>
      <c r="S51" s="93" t="s">
        <v>276</v>
      </c>
      <c r="T51" s="90">
        <f t="shared" si="17"/>
        <v>7235.0423692500026</v>
      </c>
      <c r="U51" s="91">
        <f t="shared" si="18"/>
        <v>90.591687250000007</v>
      </c>
      <c r="V51" s="92">
        <f t="shared" si="14"/>
        <v>120.58403948750005</v>
      </c>
      <c r="W51" s="95">
        <f t="shared" si="12"/>
        <v>211.17572673750004</v>
      </c>
      <c r="X51" s="94">
        <f>SUM(V40:V51)</f>
        <v>1546.6593298250011</v>
      </c>
    </row>
    <row r="52" spans="2:24" x14ac:dyDescent="0.25">
      <c r="B52">
        <v>2031</v>
      </c>
      <c r="C52" s="89" t="s">
        <v>265</v>
      </c>
      <c r="D52" s="90">
        <f t="shared" si="15"/>
        <v>2487.3967999999995</v>
      </c>
      <c r="E52" s="91">
        <f t="shared" si="16"/>
        <v>25.910383333333336</v>
      </c>
      <c r="F52" s="92">
        <f t="shared" si="0"/>
        <v>41.45661333333333</v>
      </c>
      <c r="G52" s="90">
        <f t="shared" si="1"/>
        <v>67.366996666666665</v>
      </c>
      <c r="I52">
        <v>2031</v>
      </c>
      <c r="J52" s="89" t="s">
        <v>265</v>
      </c>
      <c r="K52" s="90">
        <f t="shared" si="7"/>
        <v>4657.0538820000147</v>
      </c>
      <c r="L52" s="91">
        <f t="shared" si="8"/>
        <v>64.681303916666664</v>
      </c>
      <c r="M52" s="92">
        <f t="shared" si="2"/>
        <v>77.617564700000244</v>
      </c>
      <c r="N52" s="90">
        <f t="shared" si="3"/>
        <v>142.29886861666691</v>
      </c>
      <c r="R52">
        <v>2031</v>
      </c>
      <c r="S52" s="89" t="s">
        <v>265</v>
      </c>
      <c r="T52" s="90">
        <f t="shared" si="17"/>
        <v>7144.4506820000024</v>
      </c>
      <c r="U52" s="91">
        <f t="shared" si="18"/>
        <v>90.591687250000007</v>
      </c>
      <c r="V52" s="92">
        <f t="shared" si="14"/>
        <v>119.07417803333338</v>
      </c>
      <c r="W52" s="90">
        <f t="shared" si="12"/>
        <v>209.6658652833334</v>
      </c>
    </row>
    <row r="53" spans="2:24" x14ac:dyDescent="0.25">
      <c r="C53" s="93" t="s">
        <v>266</v>
      </c>
      <c r="D53" s="90">
        <f t="shared" si="15"/>
        <v>2461.4864166666662</v>
      </c>
      <c r="E53" s="91">
        <f t="shared" si="16"/>
        <v>25.910383333333336</v>
      </c>
      <c r="F53" s="92">
        <f t="shared" si="0"/>
        <v>41.024773611111108</v>
      </c>
      <c r="G53" s="90">
        <f t="shared" si="1"/>
        <v>66.935156944444444</v>
      </c>
      <c r="J53" s="93" t="s">
        <v>266</v>
      </c>
      <c r="K53" s="90">
        <f t="shared" si="7"/>
        <v>4592.3725780833483</v>
      </c>
      <c r="L53" s="91">
        <f t="shared" si="8"/>
        <v>64.681303916666664</v>
      </c>
      <c r="M53" s="92">
        <f t="shared" si="2"/>
        <v>76.539542968055812</v>
      </c>
      <c r="N53" s="90">
        <f t="shared" si="3"/>
        <v>141.22084688472248</v>
      </c>
      <c r="S53" s="93" t="s">
        <v>266</v>
      </c>
      <c r="T53" s="90">
        <f t="shared" si="17"/>
        <v>7053.8589947500022</v>
      </c>
      <c r="U53" s="91">
        <f t="shared" si="18"/>
        <v>90.591687250000007</v>
      </c>
      <c r="V53" s="92">
        <f t="shared" si="14"/>
        <v>117.56431657916671</v>
      </c>
      <c r="W53" s="90">
        <f t="shared" si="12"/>
        <v>208.15600382916671</v>
      </c>
    </row>
    <row r="54" spans="2:24" x14ac:dyDescent="0.25">
      <c r="C54" s="93" t="s">
        <v>267</v>
      </c>
      <c r="D54" s="90">
        <f t="shared" si="15"/>
        <v>2435.5760333333328</v>
      </c>
      <c r="E54" s="91">
        <f t="shared" si="16"/>
        <v>25.910383333333336</v>
      </c>
      <c r="F54" s="92">
        <f t="shared" si="0"/>
        <v>40.592933888888886</v>
      </c>
      <c r="G54" s="90">
        <f t="shared" si="1"/>
        <v>66.503317222222222</v>
      </c>
      <c r="J54" s="93" t="s">
        <v>267</v>
      </c>
      <c r="K54" s="90">
        <f t="shared" si="7"/>
        <v>4527.691274166682</v>
      </c>
      <c r="L54" s="91">
        <f t="shared" si="8"/>
        <v>64.681303916666664</v>
      </c>
      <c r="M54" s="92">
        <f t="shared" si="2"/>
        <v>75.461521236111366</v>
      </c>
      <c r="N54" s="90">
        <f t="shared" si="3"/>
        <v>140.14282515277802</v>
      </c>
      <c r="S54" s="93" t="s">
        <v>267</v>
      </c>
      <c r="T54" s="90">
        <f t="shared" si="17"/>
        <v>6963.2673075000021</v>
      </c>
      <c r="U54" s="91">
        <f t="shared" si="18"/>
        <v>90.591687250000007</v>
      </c>
      <c r="V54" s="92">
        <f t="shared" si="14"/>
        <v>116.05445512500005</v>
      </c>
      <c r="W54" s="90">
        <f t="shared" si="12"/>
        <v>206.64614237500007</v>
      </c>
    </row>
    <row r="55" spans="2:24" x14ac:dyDescent="0.25">
      <c r="C55" s="93" t="s">
        <v>268</v>
      </c>
      <c r="D55" s="90">
        <f t="shared" si="15"/>
        <v>2409.6656499999995</v>
      </c>
      <c r="E55" s="91">
        <f t="shared" si="16"/>
        <v>25.910383333333336</v>
      </c>
      <c r="F55" s="92">
        <f t="shared" si="0"/>
        <v>40.161094166666658</v>
      </c>
      <c r="G55" s="90">
        <f t="shared" si="1"/>
        <v>66.071477499999986</v>
      </c>
      <c r="J55" s="93" t="s">
        <v>268</v>
      </c>
      <c r="K55" s="90">
        <f t="shared" si="7"/>
        <v>4463.0099702500156</v>
      </c>
      <c r="L55" s="91">
        <f t="shared" si="8"/>
        <v>64.681303916666664</v>
      </c>
      <c r="M55" s="92">
        <f t="shared" si="2"/>
        <v>74.383499504166934</v>
      </c>
      <c r="N55" s="90">
        <f t="shared" si="3"/>
        <v>139.06480342083358</v>
      </c>
      <c r="S55" s="93" t="s">
        <v>268</v>
      </c>
      <c r="T55" s="90">
        <f t="shared" si="17"/>
        <v>6872.6756202500019</v>
      </c>
      <c r="U55" s="91">
        <f t="shared" si="18"/>
        <v>90.591687250000007</v>
      </c>
      <c r="V55" s="92">
        <f t="shared" si="14"/>
        <v>114.54459367083336</v>
      </c>
      <c r="W55" s="90">
        <f t="shared" si="12"/>
        <v>205.13628092083337</v>
      </c>
    </row>
    <row r="56" spans="2:24" x14ac:dyDescent="0.25">
      <c r="C56" s="93" t="s">
        <v>269</v>
      </c>
      <c r="D56" s="90">
        <f t="shared" si="15"/>
        <v>2383.7552666666661</v>
      </c>
      <c r="E56" s="91">
        <f t="shared" si="16"/>
        <v>25.910383333333336</v>
      </c>
      <c r="F56" s="92">
        <f t="shared" si="0"/>
        <v>39.729254444444436</v>
      </c>
      <c r="G56" s="90">
        <f t="shared" si="1"/>
        <v>65.639637777777779</v>
      </c>
      <c r="J56" s="93" t="s">
        <v>269</v>
      </c>
      <c r="K56" s="90">
        <f t="shared" si="7"/>
        <v>4398.3286663333492</v>
      </c>
      <c r="L56" s="91">
        <f t="shared" si="8"/>
        <v>64.681303916666664</v>
      </c>
      <c r="M56" s="92">
        <f t="shared" si="2"/>
        <v>73.305477772222488</v>
      </c>
      <c r="N56" s="90">
        <f t="shared" si="3"/>
        <v>137.98678168888915</v>
      </c>
      <c r="S56" s="93" t="s">
        <v>269</v>
      </c>
      <c r="T56" s="90">
        <f t="shared" si="17"/>
        <v>6782.0839330000017</v>
      </c>
      <c r="U56" s="91">
        <f t="shared" si="18"/>
        <v>90.591687250000007</v>
      </c>
      <c r="V56" s="92">
        <f t="shared" si="14"/>
        <v>113.03473221666671</v>
      </c>
      <c r="W56" s="90">
        <f t="shared" si="12"/>
        <v>203.62641946666673</v>
      </c>
    </row>
    <row r="57" spans="2:24" x14ac:dyDescent="0.25">
      <c r="C57" s="93" t="s">
        <v>270</v>
      </c>
      <c r="D57" s="90">
        <f t="shared" si="15"/>
        <v>2357.8448833333327</v>
      </c>
      <c r="E57" s="91">
        <f t="shared" si="16"/>
        <v>25.910383333333336</v>
      </c>
      <c r="F57" s="92">
        <f t="shared" si="0"/>
        <v>39.297414722222214</v>
      </c>
      <c r="G57" s="90">
        <f t="shared" si="1"/>
        <v>65.207798055555543</v>
      </c>
      <c r="J57" s="93" t="s">
        <v>270</v>
      </c>
      <c r="K57" s="90">
        <f t="shared" si="7"/>
        <v>4333.6473624166829</v>
      </c>
      <c r="L57" s="91">
        <f t="shared" si="8"/>
        <v>64.681303916666664</v>
      </c>
      <c r="M57" s="92">
        <f t="shared" si="2"/>
        <v>72.227456040278057</v>
      </c>
      <c r="N57" s="90">
        <f t="shared" si="3"/>
        <v>136.90875995694472</v>
      </c>
      <c r="S57" s="93" t="s">
        <v>270</v>
      </c>
      <c r="T57" s="90">
        <f t="shared" si="17"/>
        <v>6691.4922457500015</v>
      </c>
      <c r="U57" s="91">
        <f t="shared" si="18"/>
        <v>90.591687250000007</v>
      </c>
      <c r="V57" s="92">
        <f t="shared" si="14"/>
        <v>111.52487076250003</v>
      </c>
      <c r="W57" s="90">
        <f t="shared" si="12"/>
        <v>202.11655801250004</v>
      </c>
    </row>
    <row r="58" spans="2:24" x14ac:dyDescent="0.25">
      <c r="C58" s="93" t="s">
        <v>271</v>
      </c>
      <c r="D58" s="90">
        <f t="shared" si="15"/>
        <v>2331.9344999999994</v>
      </c>
      <c r="E58" s="91">
        <f t="shared" si="16"/>
        <v>25.910383333333336</v>
      </c>
      <c r="F58" s="92">
        <f t="shared" si="0"/>
        <v>38.865574999999993</v>
      </c>
      <c r="G58" s="90">
        <f t="shared" si="1"/>
        <v>64.775958333333335</v>
      </c>
      <c r="J58" s="93" t="s">
        <v>271</v>
      </c>
      <c r="K58" s="90">
        <f t="shared" si="7"/>
        <v>4268.9660585000165</v>
      </c>
      <c r="L58" s="91">
        <f t="shared" si="8"/>
        <v>64.681303916666664</v>
      </c>
      <c r="M58" s="92">
        <f t="shared" si="2"/>
        <v>71.14943430833361</v>
      </c>
      <c r="N58" s="90">
        <f t="shared" si="3"/>
        <v>135.83073822500029</v>
      </c>
      <c r="S58" s="93" t="s">
        <v>271</v>
      </c>
      <c r="T58" s="90">
        <f t="shared" si="17"/>
        <v>6600.9005585000014</v>
      </c>
      <c r="U58" s="91">
        <f t="shared" si="18"/>
        <v>90.591687250000007</v>
      </c>
      <c r="V58" s="92">
        <f t="shared" si="14"/>
        <v>110.01500930833338</v>
      </c>
      <c r="W58" s="90">
        <f t="shared" si="12"/>
        <v>200.6066965583334</v>
      </c>
    </row>
    <row r="59" spans="2:24" x14ac:dyDescent="0.25">
      <c r="C59" s="93" t="s">
        <v>272</v>
      </c>
      <c r="D59" s="90">
        <f t="shared" si="15"/>
        <v>2306.024116666666</v>
      </c>
      <c r="E59" s="91">
        <f t="shared" si="16"/>
        <v>25.910383333333336</v>
      </c>
      <c r="F59" s="92">
        <f t="shared" si="0"/>
        <v>38.433735277777771</v>
      </c>
      <c r="G59" s="90">
        <f t="shared" si="1"/>
        <v>64.344118611111099</v>
      </c>
      <c r="J59" s="93" t="s">
        <v>272</v>
      </c>
      <c r="K59" s="90">
        <f t="shared" si="7"/>
        <v>4204.2847545833501</v>
      </c>
      <c r="L59" s="91">
        <f t="shared" si="8"/>
        <v>64.681303916666664</v>
      </c>
      <c r="M59" s="92">
        <f t="shared" si="2"/>
        <v>70.071412576389164</v>
      </c>
      <c r="N59" s="90">
        <f t="shared" si="3"/>
        <v>134.75271649305583</v>
      </c>
      <c r="S59" s="93" t="s">
        <v>272</v>
      </c>
      <c r="T59" s="90">
        <f t="shared" si="17"/>
        <v>6510.3088712500012</v>
      </c>
      <c r="U59" s="91">
        <f t="shared" si="18"/>
        <v>90.591687250000007</v>
      </c>
      <c r="V59" s="92">
        <f t="shared" si="14"/>
        <v>108.50514785416669</v>
      </c>
      <c r="W59" s="90">
        <f t="shared" si="12"/>
        <v>199.0968351041667</v>
      </c>
    </row>
    <row r="60" spans="2:24" x14ac:dyDescent="0.25">
      <c r="C60" s="93" t="s">
        <v>273</v>
      </c>
      <c r="D60" s="90">
        <f t="shared" si="15"/>
        <v>2280.1137333333327</v>
      </c>
      <c r="E60" s="91">
        <f t="shared" si="16"/>
        <v>25.910383333333336</v>
      </c>
      <c r="F60" s="92">
        <f t="shared" si="0"/>
        <v>38.001895555555542</v>
      </c>
      <c r="G60" s="90">
        <f t="shared" si="1"/>
        <v>63.912278888888878</v>
      </c>
      <c r="J60" s="93" t="s">
        <v>273</v>
      </c>
      <c r="K60" s="90">
        <f t="shared" si="7"/>
        <v>4139.6034506666838</v>
      </c>
      <c r="L60" s="91">
        <f t="shared" si="8"/>
        <v>64.681303916666664</v>
      </c>
      <c r="M60" s="92">
        <f t="shared" si="2"/>
        <v>68.993390844444733</v>
      </c>
      <c r="N60" s="90">
        <f t="shared" si="3"/>
        <v>133.6746947611114</v>
      </c>
      <c r="S60" s="93" t="s">
        <v>273</v>
      </c>
      <c r="T60" s="90">
        <f t="shared" si="17"/>
        <v>6419.717184000001</v>
      </c>
      <c r="U60" s="91">
        <f t="shared" si="18"/>
        <v>90.591687250000007</v>
      </c>
      <c r="V60" s="92">
        <f t="shared" si="14"/>
        <v>106.99528640000001</v>
      </c>
      <c r="W60" s="90">
        <f t="shared" si="12"/>
        <v>197.58697365</v>
      </c>
    </row>
    <row r="61" spans="2:24" x14ac:dyDescent="0.25">
      <c r="C61" s="93" t="s">
        <v>274</v>
      </c>
      <c r="D61" s="90">
        <f t="shared" si="15"/>
        <v>2254.2033499999993</v>
      </c>
      <c r="E61" s="91">
        <f t="shared" si="16"/>
        <v>25.910383333333336</v>
      </c>
      <c r="F61" s="92">
        <f t="shared" si="0"/>
        <v>37.570055833333321</v>
      </c>
      <c r="G61" s="90">
        <f t="shared" si="1"/>
        <v>63.480439166666656</v>
      </c>
      <c r="J61" s="93" t="s">
        <v>274</v>
      </c>
      <c r="K61" s="90">
        <f t="shared" si="7"/>
        <v>4074.922146750017</v>
      </c>
      <c r="L61" s="91">
        <f t="shared" si="8"/>
        <v>64.681303916666664</v>
      </c>
      <c r="M61" s="92">
        <f t="shared" si="2"/>
        <v>67.915369112500287</v>
      </c>
      <c r="N61" s="90">
        <f t="shared" si="3"/>
        <v>132.59667302916694</v>
      </c>
      <c r="S61" s="93" t="s">
        <v>274</v>
      </c>
      <c r="T61" s="90">
        <f t="shared" si="17"/>
        <v>6329.1254967500008</v>
      </c>
      <c r="U61" s="91">
        <f t="shared" si="18"/>
        <v>90.591687250000007</v>
      </c>
      <c r="V61" s="92">
        <f t="shared" si="14"/>
        <v>105.48542494583336</v>
      </c>
      <c r="W61" s="90">
        <f t="shared" si="12"/>
        <v>196.07711219583337</v>
      </c>
    </row>
    <row r="62" spans="2:24" x14ac:dyDescent="0.25">
      <c r="C62" s="93" t="s">
        <v>275</v>
      </c>
      <c r="D62" s="90">
        <f t="shared" si="15"/>
        <v>2228.292966666666</v>
      </c>
      <c r="E62" s="91">
        <f t="shared" si="16"/>
        <v>25.910383333333336</v>
      </c>
      <c r="F62" s="92">
        <f t="shared" si="0"/>
        <v>37.138216111111099</v>
      </c>
      <c r="G62" s="90">
        <f t="shared" si="1"/>
        <v>63.048599444444434</v>
      </c>
      <c r="J62" s="93" t="s">
        <v>275</v>
      </c>
      <c r="K62" s="90">
        <f t="shared" si="7"/>
        <v>4010.2408428333501</v>
      </c>
      <c r="L62" s="91">
        <f t="shared" si="8"/>
        <v>64.681303916666664</v>
      </c>
      <c r="M62" s="92">
        <f t="shared" si="2"/>
        <v>66.83734738055584</v>
      </c>
      <c r="N62" s="90">
        <f t="shared" si="3"/>
        <v>131.5186512972225</v>
      </c>
      <c r="S62" s="93" t="s">
        <v>275</v>
      </c>
      <c r="T62" s="90">
        <f t="shared" si="17"/>
        <v>6238.5338095000006</v>
      </c>
      <c r="U62" s="91">
        <f t="shared" si="18"/>
        <v>90.591687250000007</v>
      </c>
      <c r="V62" s="92">
        <f t="shared" si="14"/>
        <v>103.97556349166668</v>
      </c>
      <c r="W62" s="90">
        <f t="shared" si="12"/>
        <v>194.56725074166667</v>
      </c>
    </row>
    <row r="63" spans="2:24" x14ac:dyDescent="0.25">
      <c r="C63" s="93" t="s">
        <v>276</v>
      </c>
      <c r="D63" s="90">
        <f t="shared" si="15"/>
        <v>2202.3825833333326</v>
      </c>
      <c r="E63" s="91">
        <f t="shared" si="16"/>
        <v>25.910383333333336</v>
      </c>
      <c r="F63" s="92">
        <f t="shared" si="0"/>
        <v>36.706376388888877</v>
      </c>
      <c r="G63" s="90">
        <f t="shared" si="1"/>
        <v>62.616759722222213</v>
      </c>
      <c r="H63" s="94">
        <f>SUM(F52:F63)</f>
        <v>468.97793833333327</v>
      </c>
      <c r="J63" s="93" t="s">
        <v>276</v>
      </c>
      <c r="K63" s="90">
        <f t="shared" si="7"/>
        <v>3945.5595389166833</v>
      </c>
      <c r="L63" s="91">
        <f t="shared" si="8"/>
        <v>64.681303916666664</v>
      </c>
      <c r="M63" s="92">
        <f t="shared" si="2"/>
        <v>65.759325648611394</v>
      </c>
      <c r="N63" s="90">
        <f t="shared" si="3"/>
        <v>130.44062956527807</v>
      </c>
      <c r="O63" s="94">
        <f>SUM(M52:M63)</f>
        <v>860.26134209166992</v>
      </c>
      <c r="S63" s="93" t="s">
        <v>276</v>
      </c>
      <c r="T63" s="90">
        <f t="shared" si="17"/>
        <v>6147.9421222500005</v>
      </c>
      <c r="U63" s="91">
        <f t="shared" si="18"/>
        <v>90.591687250000007</v>
      </c>
      <c r="V63" s="92">
        <f t="shared" si="14"/>
        <v>102.46570203750002</v>
      </c>
      <c r="W63" s="90">
        <f t="shared" si="12"/>
        <v>193.05738928750003</v>
      </c>
      <c r="X63" s="94">
        <f>SUM(V52:V63)</f>
        <v>1329.2392804250005</v>
      </c>
    </row>
    <row r="64" spans="2:24" x14ac:dyDescent="0.25">
      <c r="B64">
        <v>2032</v>
      </c>
      <c r="C64" s="89" t="s">
        <v>265</v>
      </c>
      <c r="D64" s="90">
        <f t="shared" si="15"/>
        <v>2176.4721999999992</v>
      </c>
      <c r="E64" s="91">
        <f t="shared" si="16"/>
        <v>25.910383333333336</v>
      </c>
      <c r="F64" s="92">
        <f t="shared" si="0"/>
        <v>36.274536666666656</v>
      </c>
      <c r="G64" s="90">
        <f t="shared" si="1"/>
        <v>62.184919999999991</v>
      </c>
      <c r="I64">
        <v>2032</v>
      </c>
      <c r="J64" s="89" t="s">
        <v>265</v>
      </c>
      <c r="K64" s="90">
        <f t="shared" si="7"/>
        <v>3880.8782350000165</v>
      </c>
      <c r="L64" s="91">
        <f t="shared" si="8"/>
        <v>64.681303916666664</v>
      </c>
      <c r="M64" s="92">
        <f t="shared" si="2"/>
        <v>64.681303916666948</v>
      </c>
      <c r="N64" s="90">
        <f t="shared" si="3"/>
        <v>129.36260783333361</v>
      </c>
      <c r="R64">
        <v>2032</v>
      </c>
      <c r="S64" s="89" t="s">
        <v>265</v>
      </c>
      <c r="T64" s="90">
        <f t="shared" si="17"/>
        <v>6057.3504350000003</v>
      </c>
      <c r="U64" s="91">
        <f t="shared" si="18"/>
        <v>90.591687250000007</v>
      </c>
      <c r="V64" s="92">
        <f t="shared" si="14"/>
        <v>100.95584058333334</v>
      </c>
      <c r="W64" s="90">
        <f t="shared" si="12"/>
        <v>191.54752783333333</v>
      </c>
    </row>
    <row r="65" spans="2:24" x14ac:dyDescent="0.25">
      <c r="C65" s="93" t="s">
        <v>266</v>
      </c>
      <c r="D65" s="90">
        <f t="shared" si="15"/>
        <v>2150.5618166666659</v>
      </c>
      <c r="E65" s="91">
        <f t="shared" si="16"/>
        <v>25.910383333333336</v>
      </c>
      <c r="F65" s="92">
        <f t="shared" si="0"/>
        <v>35.842696944444434</v>
      </c>
      <c r="G65" s="90">
        <f t="shared" si="1"/>
        <v>61.753080277777769</v>
      </c>
      <c r="J65" s="93" t="s">
        <v>266</v>
      </c>
      <c r="K65" s="90">
        <f t="shared" si="7"/>
        <v>3816.1969310833497</v>
      </c>
      <c r="L65" s="91">
        <f t="shared" si="8"/>
        <v>64.681303916666664</v>
      </c>
      <c r="M65" s="92">
        <f t="shared" si="2"/>
        <v>63.603282184722502</v>
      </c>
      <c r="N65" s="90">
        <f t="shared" si="3"/>
        <v>128.28458610138915</v>
      </c>
      <c r="S65" s="93" t="s">
        <v>266</v>
      </c>
      <c r="T65" s="90">
        <f t="shared" si="17"/>
        <v>5966.7587477500001</v>
      </c>
      <c r="U65" s="91">
        <f t="shared" si="18"/>
        <v>90.591687250000007</v>
      </c>
      <c r="V65" s="92">
        <f t="shared" si="14"/>
        <v>99.445979129166673</v>
      </c>
      <c r="W65" s="90">
        <f t="shared" si="12"/>
        <v>190.03766637916669</v>
      </c>
    </row>
    <row r="66" spans="2:24" x14ac:dyDescent="0.25">
      <c r="C66" s="93" t="s">
        <v>267</v>
      </c>
      <c r="D66" s="90">
        <f t="shared" si="15"/>
        <v>2124.6514333333325</v>
      </c>
      <c r="E66" s="91">
        <f t="shared" si="16"/>
        <v>25.910383333333336</v>
      </c>
      <c r="F66" s="92">
        <f t="shared" si="0"/>
        <v>35.410857222222212</v>
      </c>
      <c r="G66" s="90">
        <f t="shared" si="1"/>
        <v>61.321240555555548</v>
      </c>
      <c r="J66" s="93" t="s">
        <v>267</v>
      </c>
      <c r="K66" s="90">
        <f t="shared" si="7"/>
        <v>3751.5156271666829</v>
      </c>
      <c r="L66" s="91">
        <f t="shared" si="8"/>
        <v>64.681303916666664</v>
      </c>
      <c r="M66" s="92">
        <f t="shared" si="2"/>
        <v>62.525260452778049</v>
      </c>
      <c r="N66" s="90">
        <f t="shared" si="3"/>
        <v>127.20656436944472</v>
      </c>
      <c r="S66" s="93" t="s">
        <v>267</v>
      </c>
      <c r="T66" s="90">
        <f t="shared" si="17"/>
        <v>5876.1670604999999</v>
      </c>
      <c r="U66" s="91">
        <f t="shared" si="18"/>
        <v>90.591687250000007</v>
      </c>
      <c r="V66" s="92">
        <f t="shared" si="14"/>
        <v>97.936117675000006</v>
      </c>
      <c r="W66" s="90">
        <f t="shared" si="12"/>
        <v>188.527804925</v>
      </c>
    </row>
    <row r="67" spans="2:24" x14ac:dyDescent="0.25">
      <c r="C67" s="93" t="s">
        <v>268</v>
      </c>
      <c r="D67" s="90">
        <f t="shared" si="15"/>
        <v>2098.7410499999992</v>
      </c>
      <c r="E67" s="91">
        <f t="shared" si="16"/>
        <v>25.910383333333336</v>
      </c>
      <c r="F67" s="92">
        <f t="shared" si="0"/>
        <v>34.979017499999991</v>
      </c>
      <c r="G67" s="90">
        <f t="shared" si="1"/>
        <v>60.889400833333326</v>
      </c>
      <c r="J67" s="93" t="s">
        <v>268</v>
      </c>
      <c r="K67" s="90">
        <f t="shared" si="7"/>
        <v>3686.834323250016</v>
      </c>
      <c r="L67" s="91">
        <f t="shared" si="8"/>
        <v>64.681303916666664</v>
      </c>
      <c r="M67" s="92">
        <f t="shared" si="2"/>
        <v>61.447238720833603</v>
      </c>
      <c r="N67" s="90">
        <f t="shared" si="3"/>
        <v>126.12854263750026</v>
      </c>
      <c r="S67" s="93" t="s">
        <v>268</v>
      </c>
      <c r="T67" s="90">
        <f t="shared" si="17"/>
        <v>5785.5753732499998</v>
      </c>
      <c r="U67" s="91">
        <f t="shared" si="18"/>
        <v>90.591687250000007</v>
      </c>
      <c r="V67" s="92">
        <f t="shared" si="14"/>
        <v>96.426256220833338</v>
      </c>
      <c r="W67" s="90">
        <f t="shared" si="12"/>
        <v>187.01794347083336</v>
      </c>
    </row>
    <row r="68" spans="2:24" x14ac:dyDescent="0.25">
      <c r="C68" s="93" t="s">
        <v>269</v>
      </c>
      <c r="D68" s="90">
        <f t="shared" si="15"/>
        <v>2072.8306666666658</v>
      </c>
      <c r="E68" s="91">
        <f t="shared" si="16"/>
        <v>25.910383333333336</v>
      </c>
      <c r="F68" s="92">
        <f t="shared" si="0"/>
        <v>34.547177777777769</v>
      </c>
      <c r="G68" s="90">
        <f t="shared" si="1"/>
        <v>60.457561111111104</v>
      </c>
      <c r="J68" s="93" t="s">
        <v>269</v>
      </c>
      <c r="K68" s="90">
        <f t="shared" si="7"/>
        <v>3622.1530193333492</v>
      </c>
      <c r="L68" s="91">
        <f t="shared" si="8"/>
        <v>64.681303916666664</v>
      </c>
      <c r="M68" s="92">
        <f t="shared" si="2"/>
        <v>60.369216988889157</v>
      </c>
      <c r="N68" s="90">
        <f t="shared" ref="N68:N123" si="19">L68+M68</f>
        <v>125.05052090555583</v>
      </c>
      <c r="S68" s="93" t="s">
        <v>269</v>
      </c>
      <c r="T68" s="90">
        <f t="shared" si="17"/>
        <v>5694.9836859999996</v>
      </c>
      <c r="U68" s="91">
        <f t="shared" si="18"/>
        <v>90.591687250000007</v>
      </c>
      <c r="V68" s="92">
        <f t="shared" si="14"/>
        <v>94.916394766666656</v>
      </c>
      <c r="W68" s="90">
        <f t="shared" si="12"/>
        <v>185.50808201666666</v>
      </c>
    </row>
    <row r="69" spans="2:24" x14ac:dyDescent="0.25">
      <c r="C69" s="93" t="s">
        <v>270</v>
      </c>
      <c r="D69" s="90">
        <f t="shared" si="15"/>
        <v>2046.9202833333325</v>
      </c>
      <c r="E69" s="91">
        <f t="shared" si="16"/>
        <v>25.910383333333336</v>
      </c>
      <c r="F69" s="92">
        <f t="shared" ref="F69:F132" si="20">D69*$C$2/12</f>
        <v>34.115338055555547</v>
      </c>
      <c r="G69" s="90">
        <f t="shared" ref="G69:G132" si="21">E69+F69</f>
        <v>60.025721388888883</v>
      </c>
      <c r="J69" s="93" t="s">
        <v>270</v>
      </c>
      <c r="K69" s="90">
        <f t="shared" si="7"/>
        <v>3557.4717154166824</v>
      </c>
      <c r="L69" s="91">
        <f t="shared" si="8"/>
        <v>64.681303916666664</v>
      </c>
      <c r="M69" s="92">
        <f t="shared" ref="M69:M123" si="22">K69*$C$2/12</f>
        <v>59.291195256944711</v>
      </c>
      <c r="N69" s="90">
        <f t="shared" si="19"/>
        <v>123.97249917361137</v>
      </c>
      <c r="S69" s="93" t="s">
        <v>270</v>
      </c>
      <c r="T69" s="90">
        <f t="shared" si="17"/>
        <v>5604.3919987499994</v>
      </c>
      <c r="U69" s="91">
        <f t="shared" si="18"/>
        <v>90.591687250000007</v>
      </c>
      <c r="V69" s="92">
        <f t="shared" si="14"/>
        <v>93.406533312500002</v>
      </c>
      <c r="W69" s="90">
        <f t="shared" si="12"/>
        <v>183.99822056250002</v>
      </c>
    </row>
    <row r="70" spans="2:24" x14ac:dyDescent="0.25">
      <c r="C70" s="93" t="s">
        <v>271</v>
      </c>
      <c r="D70" s="90">
        <f t="shared" si="15"/>
        <v>2021.0098999999991</v>
      </c>
      <c r="E70" s="91">
        <f t="shared" si="16"/>
        <v>25.910383333333336</v>
      </c>
      <c r="F70" s="92">
        <f t="shared" si="20"/>
        <v>33.683498333333318</v>
      </c>
      <c r="G70" s="90">
        <f t="shared" si="21"/>
        <v>59.593881666666654</v>
      </c>
      <c r="J70" s="93" t="s">
        <v>271</v>
      </c>
      <c r="K70" s="90">
        <f t="shared" ref="K70:K123" si="23">K69-L70</f>
        <v>3492.7904115000156</v>
      </c>
      <c r="L70" s="91">
        <f t="shared" ref="L70:L123" si="24">L69</f>
        <v>64.681303916666664</v>
      </c>
      <c r="M70" s="92">
        <f t="shared" si="22"/>
        <v>58.213173525000265</v>
      </c>
      <c r="N70" s="90">
        <f t="shared" si="19"/>
        <v>122.89447744166694</v>
      </c>
      <c r="S70" s="93" t="s">
        <v>271</v>
      </c>
      <c r="T70" s="90">
        <f t="shared" si="17"/>
        <v>5513.8003114999992</v>
      </c>
      <c r="U70" s="91">
        <f t="shared" si="18"/>
        <v>90.591687250000007</v>
      </c>
      <c r="V70" s="92">
        <f t="shared" si="14"/>
        <v>91.89667185833332</v>
      </c>
      <c r="W70" s="90">
        <f t="shared" si="12"/>
        <v>182.48835910833333</v>
      </c>
    </row>
    <row r="71" spans="2:24" x14ac:dyDescent="0.25">
      <c r="C71" s="93" t="s">
        <v>272</v>
      </c>
      <c r="D71" s="90">
        <f t="shared" si="15"/>
        <v>1995.0995166666657</v>
      </c>
      <c r="E71" s="91">
        <f t="shared" si="16"/>
        <v>25.910383333333336</v>
      </c>
      <c r="F71" s="92">
        <f t="shared" si="20"/>
        <v>33.251658611111097</v>
      </c>
      <c r="G71" s="90">
        <f t="shared" si="21"/>
        <v>59.162041944444432</v>
      </c>
      <c r="J71" s="93" t="s">
        <v>272</v>
      </c>
      <c r="K71" s="90">
        <f t="shared" si="23"/>
        <v>3428.1091075833488</v>
      </c>
      <c r="L71" s="91">
        <f t="shared" si="24"/>
        <v>64.681303916666664</v>
      </c>
      <c r="M71" s="92">
        <f t="shared" si="22"/>
        <v>57.135151793055819</v>
      </c>
      <c r="N71" s="90">
        <f t="shared" si="19"/>
        <v>121.81645570972248</v>
      </c>
      <c r="S71" s="93" t="s">
        <v>272</v>
      </c>
      <c r="T71" s="90">
        <f t="shared" si="17"/>
        <v>5423.208624249999</v>
      </c>
      <c r="U71" s="91">
        <f t="shared" si="18"/>
        <v>90.591687250000007</v>
      </c>
      <c r="V71" s="92">
        <f t="shared" si="14"/>
        <v>90.386810404166667</v>
      </c>
      <c r="W71" s="90">
        <f t="shared" si="12"/>
        <v>180.97849765416669</v>
      </c>
    </row>
    <row r="72" spans="2:24" x14ac:dyDescent="0.25">
      <c r="C72" s="93" t="s">
        <v>273</v>
      </c>
      <c r="D72" s="90">
        <f t="shared" si="15"/>
        <v>1969.1891333333324</v>
      </c>
      <c r="E72" s="91">
        <f t="shared" si="16"/>
        <v>25.910383333333336</v>
      </c>
      <c r="F72" s="92">
        <f t="shared" si="20"/>
        <v>32.819818888888875</v>
      </c>
      <c r="G72" s="90">
        <f t="shared" si="21"/>
        <v>58.730202222222211</v>
      </c>
      <c r="J72" s="93" t="s">
        <v>273</v>
      </c>
      <c r="K72" s="90">
        <f t="shared" si="23"/>
        <v>3363.4278036666819</v>
      </c>
      <c r="L72" s="91">
        <f t="shared" si="24"/>
        <v>64.681303916666664</v>
      </c>
      <c r="M72" s="92">
        <f t="shared" si="22"/>
        <v>56.057130061111366</v>
      </c>
      <c r="N72" s="90">
        <f t="shared" si="19"/>
        <v>120.73843397777803</v>
      </c>
      <c r="S72" s="93" t="s">
        <v>273</v>
      </c>
      <c r="T72" s="90">
        <f t="shared" si="17"/>
        <v>5332.6169369999989</v>
      </c>
      <c r="U72" s="91">
        <f t="shared" si="18"/>
        <v>90.591687250000007</v>
      </c>
      <c r="V72" s="92">
        <f t="shared" si="14"/>
        <v>88.876948949999985</v>
      </c>
      <c r="W72" s="90">
        <f t="shared" si="12"/>
        <v>179.46863619999999</v>
      </c>
    </row>
    <row r="73" spans="2:24" x14ac:dyDescent="0.25">
      <c r="C73" s="93" t="s">
        <v>274</v>
      </c>
      <c r="D73" s="90">
        <f t="shared" si="15"/>
        <v>1943.278749999999</v>
      </c>
      <c r="E73" s="91">
        <f t="shared" si="16"/>
        <v>25.910383333333336</v>
      </c>
      <c r="F73" s="92">
        <f t="shared" si="20"/>
        <v>32.387979166666653</v>
      </c>
      <c r="G73" s="90">
        <f t="shared" si="21"/>
        <v>58.298362499999989</v>
      </c>
      <c r="J73" s="93" t="s">
        <v>274</v>
      </c>
      <c r="K73" s="90">
        <f t="shared" si="23"/>
        <v>3298.7464997500151</v>
      </c>
      <c r="L73" s="91">
        <f t="shared" si="24"/>
        <v>64.681303916666664</v>
      </c>
      <c r="M73" s="92">
        <f t="shared" si="22"/>
        <v>54.979108329166927</v>
      </c>
      <c r="N73" s="90">
        <f t="shared" si="19"/>
        <v>119.66041224583358</v>
      </c>
      <c r="S73" s="93" t="s">
        <v>274</v>
      </c>
      <c r="T73" s="90">
        <f t="shared" si="17"/>
        <v>5242.0252497499987</v>
      </c>
      <c r="U73" s="91">
        <f t="shared" si="18"/>
        <v>90.591687250000007</v>
      </c>
      <c r="V73" s="92">
        <f t="shared" si="14"/>
        <v>87.367087495833303</v>
      </c>
      <c r="W73" s="90">
        <f t="shared" si="12"/>
        <v>177.9587747458333</v>
      </c>
    </row>
    <row r="74" spans="2:24" x14ac:dyDescent="0.25">
      <c r="C74" s="93" t="s">
        <v>275</v>
      </c>
      <c r="D74" s="90">
        <f t="shared" si="15"/>
        <v>1917.3683666666657</v>
      </c>
      <c r="E74" s="91">
        <f t="shared" si="16"/>
        <v>25.910383333333336</v>
      </c>
      <c r="F74" s="92">
        <f t="shared" si="20"/>
        <v>31.956139444444432</v>
      </c>
      <c r="G74" s="90">
        <f t="shared" si="21"/>
        <v>57.866522777777767</v>
      </c>
      <c r="J74" s="93" t="s">
        <v>275</v>
      </c>
      <c r="K74" s="90">
        <f t="shared" si="23"/>
        <v>3234.0651958333483</v>
      </c>
      <c r="L74" s="91">
        <f t="shared" si="24"/>
        <v>64.681303916666664</v>
      </c>
      <c r="M74" s="92">
        <f t="shared" si="22"/>
        <v>53.901086597222474</v>
      </c>
      <c r="N74" s="90">
        <f t="shared" si="19"/>
        <v>118.58239051388914</v>
      </c>
      <c r="S74" s="93" t="s">
        <v>275</v>
      </c>
      <c r="T74" s="90">
        <f t="shared" si="17"/>
        <v>5151.4335624999985</v>
      </c>
      <c r="U74" s="91">
        <f t="shared" si="18"/>
        <v>90.591687250000007</v>
      </c>
      <c r="V74" s="92">
        <f t="shared" si="14"/>
        <v>85.85722604166665</v>
      </c>
      <c r="W74" s="90">
        <f t="shared" si="12"/>
        <v>176.44891329166666</v>
      </c>
    </row>
    <row r="75" spans="2:24" x14ac:dyDescent="0.25">
      <c r="C75" s="93" t="s">
        <v>276</v>
      </c>
      <c r="D75" s="90">
        <f t="shared" si="15"/>
        <v>1891.4579833333323</v>
      </c>
      <c r="E75" s="91">
        <f t="shared" si="16"/>
        <v>25.910383333333336</v>
      </c>
      <c r="F75" s="92">
        <f t="shared" si="20"/>
        <v>31.524299722222207</v>
      </c>
      <c r="G75" s="90">
        <f t="shared" si="21"/>
        <v>57.434683055555539</v>
      </c>
      <c r="H75" s="94">
        <f>SUM(F64:F75)</f>
        <v>406.79301833333324</v>
      </c>
      <c r="J75" s="93" t="s">
        <v>276</v>
      </c>
      <c r="K75" s="90">
        <f t="shared" si="23"/>
        <v>3169.3838919166815</v>
      </c>
      <c r="L75" s="91">
        <f t="shared" si="24"/>
        <v>64.681303916666664</v>
      </c>
      <c r="M75" s="92">
        <f t="shared" si="22"/>
        <v>52.823064865278035</v>
      </c>
      <c r="N75" s="90">
        <f t="shared" si="19"/>
        <v>117.50436878194469</v>
      </c>
      <c r="O75" s="94">
        <f>SUM(M64:M75)</f>
        <v>705.02621269166991</v>
      </c>
      <c r="S75" s="93" t="s">
        <v>276</v>
      </c>
      <c r="T75" s="90">
        <f t="shared" si="17"/>
        <v>5060.8418752499983</v>
      </c>
      <c r="U75" s="91">
        <f t="shared" si="18"/>
        <v>90.591687250000007</v>
      </c>
      <c r="V75" s="92">
        <f t="shared" si="14"/>
        <v>84.347364587499968</v>
      </c>
      <c r="W75" s="90">
        <f t="shared" si="12"/>
        <v>174.93905183749996</v>
      </c>
      <c r="X75" s="94">
        <f>SUM(V64:V75)</f>
        <v>1111.8192310249999</v>
      </c>
    </row>
    <row r="76" spans="2:24" x14ac:dyDescent="0.25">
      <c r="B76" s="96">
        <v>2033</v>
      </c>
      <c r="C76" s="99" t="s">
        <v>265</v>
      </c>
      <c r="D76" s="90">
        <f t="shared" si="15"/>
        <v>1865.547599999999</v>
      </c>
      <c r="E76" s="91">
        <f t="shared" si="16"/>
        <v>25.910383333333336</v>
      </c>
      <c r="F76" s="92">
        <f t="shared" si="20"/>
        <v>31.092459999999985</v>
      </c>
      <c r="G76" s="100">
        <f t="shared" si="21"/>
        <v>57.002843333333317</v>
      </c>
      <c r="I76" s="96">
        <v>2033</v>
      </c>
      <c r="J76" s="99" t="s">
        <v>265</v>
      </c>
      <c r="K76" s="90">
        <f t="shared" si="23"/>
        <v>3104.7025880000147</v>
      </c>
      <c r="L76" s="91">
        <f t="shared" si="24"/>
        <v>64.681303916666664</v>
      </c>
      <c r="M76" s="92">
        <f t="shared" si="22"/>
        <v>51.745043133333581</v>
      </c>
      <c r="N76" s="100">
        <f t="shared" si="19"/>
        <v>116.42634705000025</v>
      </c>
      <c r="R76" s="96">
        <v>2033</v>
      </c>
      <c r="S76" s="99" t="s">
        <v>265</v>
      </c>
      <c r="T76" s="90">
        <f t="shared" si="17"/>
        <v>4970.2501879999982</v>
      </c>
      <c r="U76" s="91">
        <f t="shared" si="18"/>
        <v>90.591687250000007</v>
      </c>
      <c r="V76" s="92">
        <f t="shared" si="14"/>
        <v>82.8375031333333</v>
      </c>
      <c r="W76" s="100">
        <f t="shared" si="12"/>
        <v>173.42919038333332</v>
      </c>
    </row>
    <row r="77" spans="2:24" x14ac:dyDescent="0.25">
      <c r="B77" s="96"/>
      <c r="C77" s="101" t="s">
        <v>266</v>
      </c>
      <c r="D77" s="90">
        <f t="shared" si="15"/>
        <v>1839.6372166666656</v>
      </c>
      <c r="E77" s="91">
        <f t="shared" si="16"/>
        <v>25.910383333333336</v>
      </c>
      <c r="F77" s="92">
        <f t="shared" si="20"/>
        <v>30.660620277777763</v>
      </c>
      <c r="G77" s="100">
        <f t="shared" si="21"/>
        <v>56.571003611111095</v>
      </c>
      <c r="I77" s="96"/>
      <c r="J77" s="101" t="s">
        <v>266</v>
      </c>
      <c r="K77" s="90">
        <f t="shared" si="23"/>
        <v>3040.0212840833478</v>
      </c>
      <c r="L77" s="91">
        <f t="shared" si="24"/>
        <v>64.681303916666664</v>
      </c>
      <c r="M77" s="92">
        <f t="shared" si="22"/>
        <v>50.667021401389128</v>
      </c>
      <c r="N77" s="100">
        <f t="shared" si="19"/>
        <v>115.3483253180558</v>
      </c>
      <c r="R77" s="96"/>
      <c r="S77" s="101" t="s">
        <v>266</v>
      </c>
      <c r="T77" s="90">
        <f t="shared" si="17"/>
        <v>4879.658500749998</v>
      </c>
      <c r="U77" s="91">
        <f t="shared" si="18"/>
        <v>90.591687250000007</v>
      </c>
      <c r="V77" s="92">
        <f t="shared" si="14"/>
        <v>81.327641679166632</v>
      </c>
      <c r="W77" s="100">
        <f t="shared" si="12"/>
        <v>171.91932892916662</v>
      </c>
    </row>
    <row r="78" spans="2:24" x14ac:dyDescent="0.25">
      <c r="B78" s="96"/>
      <c r="C78" s="101" t="s">
        <v>267</v>
      </c>
      <c r="D78" s="90">
        <f t="shared" si="15"/>
        <v>1813.7268333333323</v>
      </c>
      <c r="E78" s="91">
        <f t="shared" si="16"/>
        <v>25.910383333333336</v>
      </c>
      <c r="F78" s="92">
        <f t="shared" si="20"/>
        <v>30.228780555555542</v>
      </c>
      <c r="G78" s="100">
        <f t="shared" si="21"/>
        <v>56.139163888888874</v>
      </c>
      <c r="I78" s="96"/>
      <c r="J78" s="101" t="s">
        <v>267</v>
      </c>
      <c r="K78" s="90">
        <f t="shared" si="23"/>
        <v>2975.339980166681</v>
      </c>
      <c r="L78" s="91">
        <f t="shared" si="24"/>
        <v>64.681303916666664</v>
      </c>
      <c r="M78" s="92">
        <f t="shared" si="22"/>
        <v>49.588999669444689</v>
      </c>
      <c r="N78" s="100">
        <f t="shared" si="19"/>
        <v>114.27030358611135</v>
      </c>
      <c r="R78" s="96"/>
      <c r="S78" s="101" t="s">
        <v>267</v>
      </c>
      <c r="T78" s="90">
        <f t="shared" si="17"/>
        <v>4789.0668134999978</v>
      </c>
      <c r="U78" s="91">
        <f t="shared" si="18"/>
        <v>90.591687250000007</v>
      </c>
      <c r="V78" s="92">
        <f t="shared" si="14"/>
        <v>79.817780224999964</v>
      </c>
      <c r="W78" s="100">
        <f t="shared" si="12"/>
        <v>170.40946747499999</v>
      </c>
    </row>
    <row r="79" spans="2:24" x14ac:dyDescent="0.25">
      <c r="B79" s="96"/>
      <c r="C79" s="101" t="s">
        <v>268</v>
      </c>
      <c r="D79" s="90">
        <f t="shared" si="15"/>
        <v>1787.8164499999989</v>
      </c>
      <c r="E79" s="91">
        <f t="shared" si="16"/>
        <v>25.910383333333336</v>
      </c>
      <c r="F79" s="92">
        <f t="shared" si="20"/>
        <v>29.79694083333332</v>
      </c>
      <c r="G79" s="100">
        <f t="shared" si="21"/>
        <v>55.707324166666652</v>
      </c>
      <c r="I79" s="96"/>
      <c r="J79" s="101" t="s">
        <v>268</v>
      </c>
      <c r="K79" s="90">
        <f t="shared" si="23"/>
        <v>2910.6586762500142</v>
      </c>
      <c r="L79" s="91">
        <f t="shared" si="24"/>
        <v>64.681303916666664</v>
      </c>
      <c r="M79" s="92">
        <f t="shared" si="22"/>
        <v>48.510977937500236</v>
      </c>
      <c r="N79" s="100">
        <f t="shared" si="19"/>
        <v>113.19228185416691</v>
      </c>
      <c r="R79" s="96"/>
      <c r="S79" s="101" t="s">
        <v>268</v>
      </c>
      <c r="T79" s="90">
        <f t="shared" si="17"/>
        <v>4698.4751262499976</v>
      </c>
      <c r="U79" s="91">
        <f t="shared" si="18"/>
        <v>90.591687250000007</v>
      </c>
      <c r="V79" s="92">
        <f t="shared" si="14"/>
        <v>78.307918770833297</v>
      </c>
      <c r="W79" s="100">
        <f t="shared" si="12"/>
        <v>168.89960602083329</v>
      </c>
    </row>
    <row r="80" spans="2:24" x14ac:dyDescent="0.25">
      <c r="B80" s="96"/>
      <c r="C80" s="101" t="s">
        <v>269</v>
      </c>
      <c r="D80" s="90">
        <f t="shared" si="15"/>
        <v>1761.9060666666655</v>
      </c>
      <c r="E80" s="91">
        <f t="shared" si="16"/>
        <v>25.910383333333336</v>
      </c>
      <c r="F80" s="92">
        <f t="shared" si="20"/>
        <v>29.365101111111091</v>
      </c>
      <c r="G80" s="100">
        <f t="shared" si="21"/>
        <v>55.27548444444443</v>
      </c>
      <c r="I80" s="96"/>
      <c r="J80" s="101" t="s">
        <v>269</v>
      </c>
      <c r="K80" s="90">
        <f t="shared" si="23"/>
        <v>2845.9773723333474</v>
      </c>
      <c r="L80" s="91">
        <f t="shared" si="24"/>
        <v>64.681303916666664</v>
      </c>
      <c r="M80" s="92">
        <f t="shared" si="22"/>
        <v>47.43295620555579</v>
      </c>
      <c r="N80" s="100">
        <f t="shared" si="19"/>
        <v>112.11426012222245</v>
      </c>
      <c r="R80" s="96"/>
      <c r="S80" s="101" t="s">
        <v>269</v>
      </c>
      <c r="T80" s="90">
        <f t="shared" si="17"/>
        <v>4607.8834389999975</v>
      </c>
      <c r="U80" s="91">
        <f t="shared" si="18"/>
        <v>90.591687250000007</v>
      </c>
      <c r="V80" s="92">
        <f t="shared" si="14"/>
        <v>76.798057316666629</v>
      </c>
      <c r="W80" s="100">
        <f t="shared" si="12"/>
        <v>167.38974456666665</v>
      </c>
    </row>
    <row r="81" spans="2:24" x14ac:dyDescent="0.25">
      <c r="B81" s="96"/>
      <c r="C81" s="101" t="s">
        <v>270</v>
      </c>
      <c r="D81" s="90">
        <f t="shared" si="15"/>
        <v>1735.9956833333322</v>
      </c>
      <c r="E81" s="91">
        <f t="shared" si="16"/>
        <v>25.910383333333336</v>
      </c>
      <c r="F81" s="92">
        <f t="shared" si="20"/>
        <v>28.933261388888869</v>
      </c>
      <c r="G81" s="100">
        <f t="shared" si="21"/>
        <v>54.843644722222209</v>
      </c>
      <c r="I81" s="96"/>
      <c r="J81" s="101" t="s">
        <v>270</v>
      </c>
      <c r="K81" s="90">
        <f t="shared" si="23"/>
        <v>2781.2960684166806</v>
      </c>
      <c r="L81" s="91">
        <f t="shared" si="24"/>
        <v>64.681303916666664</v>
      </c>
      <c r="M81" s="92">
        <f t="shared" si="22"/>
        <v>46.354934473611344</v>
      </c>
      <c r="N81" s="100">
        <f t="shared" si="19"/>
        <v>111.03623839027802</v>
      </c>
      <c r="R81" s="96"/>
      <c r="S81" s="101" t="s">
        <v>270</v>
      </c>
      <c r="T81" s="90">
        <f t="shared" si="17"/>
        <v>4517.2917517499973</v>
      </c>
      <c r="U81" s="91">
        <f t="shared" si="18"/>
        <v>90.591687250000007</v>
      </c>
      <c r="V81" s="92">
        <f t="shared" si="14"/>
        <v>75.288195862499961</v>
      </c>
      <c r="W81" s="100">
        <f t="shared" si="12"/>
        <v>165.87988311249995</v>
      </c>
    </row>
    <row r="82" spans="2:24" x14ac:dyDescent="0.25">
      <c r="B82" s="96"/>
      <c r="C82" s="101" t="s">
        <v>271</v>
      </c>
      <c r="D82" s="90">
        <f t="shared" si="15"/>
        <v>1710.0852999999988</v>
      </c>
      <c r="E82" s="91">
        <f t="shared" si="16"/>
        <v>25.910383333333336</v>
      </c>
      <c r="F82" s="92">
        <f t="shared" si="20"/>
        <v>28.501421666666648</v>
      </c>
      <c r="G82" s="100">
        <f t="shared" si="21"/>
        <v>54.411804999999987</v>
      </c>
      <c r="I82" s="96"/>
      <c r="J82" s="101" t="s">
        <v>271</v>
      </c>
      <c r="K82" s="90">
        <f t="shared" si="23"/>
        <v>2716.6147645000137</v>
      </c>
      <c r="L82" s="91">
        <f t="shared" si="24"/>
        <v>64.681303916666664</v>
      </c>
      <c r="M82" s="92">
        <f t="shared" si="22"/>
        <v>45.276912741666898</v>
      </c>
      <c r="N82" s="100">
        <f t="shared" si="19"/>
        <v>109.95821665833355</v>
      </c>
      <c r="R82" s="96"/>
      <c r="S82" s="101" t="s">
        <v>271</v>
      </c>
      <c r="T82" s="90">
        <f t="shared" si="17"/>
        <v>4426.7000644999971</v>
      </c>
      <c r="U82" s="91">
        <f t="shared" si="18"/>
        <v>90.591687250000007</v>
      </c>
      <c r="V82" s="92">
        <f t="shared" si="14"/>
        <v>73.778334408333293</v>
      </c>
      <c r="W82" s="100">
        <f t="shared" si="12"/>
        <v>164.37002165833331</v>
      </c>
    </row>
    <row r="83" spans="2:24" x14ac:dyDescent="0.25">
      <c r="B83" s="96"/>
      <c r="C83" s="101" t="s">
        <v>272</v>
      </c>
      <c r="D83" s="90">
        <f t="shared" si="15"/>
        <v>1684.1749166666655</v>
      </c>
      <c r="E83" s="91">
        <f t="shared" si="16"/>
        <v>25.910383333333336</v>
      </c>
      <c r="F83" s="92">
        <f t="shared" si="20"/>
        <v>28.069581944444426</v>
      </c>
      <c r="G83" s="100">
        <f t="shared" si="21"/>
        <v>53.979965277777765</v>
      </c>
      <c r="I83" s="96"/>
      <c r="J83" s="101" t="s">
        <v>272</v>
      </c>
      <c r="K83" s="90">
        <f t="shared" si="23"/>
        <v>2651.9334605833469</v>
      </c>
      <c r="L83" s="91">
        <f t="shared" si="24"/>
        <v>64.681303916666664</v>
      </c>
      <c r="M83" s="92">
        <f t="shared" si="22"/>
        <v>44.198891009722452</v>
      </c>
      <c r="N83" s="100">
        <f t="shared" si="19"/>
        <v>108.88019492638912</v>
      </c>
      <c r="R83" s="96"/>
      <c r="S83" s="101" t="s">
        <v>272</v>
      </c>
      <c r="T83" s="90">
        <f t="shared" si="17"/>
        <v>4336.1083772499969</v>
      </c>
      <c r="U83" s="91">
        <f t="shared" si="18"/>
        <v>90.591687250000007</v>
      </c>
      <c r="V83" s="92">
        <f t="shared" si="14"/>
        <v>72.268472954166626</v>
      </c>
      <c r="W83" s="100">
        <f t="shared" si="12"/>
        <v>162.86016020416662</v>
      </c>
    </row>
    <row r="84" spans="2:24" x14ac:dyDescent="0.25">
      <c r="B84" s="96"/>
      <c r="C84" s="101" t="s">
        <v>273</v>
      </c>
      <c r="D84" s="90">
        <f t="shared" si="15"/>
        <v>1658.2645333333321</v>
      </c>
      <c r="E84" s="91">
        <f t="shared" si="16"/>
        <v>25.910383333333336</v>
      </c>
      <c r="F84" s="92">
        <f t="shared" si="20"/>
        <v>27.637742222222204</v>
      </c>
      <c r="G84" s="100">
        <f t="shared" si="21"/>
        <v>53.548125555555544</v>
      </c>
      <c r="I84" s="96"/>
      <c r="J84" s="101" t="s">
        <v>273</v>
      </c>
      <c r="K84" s="90">
        <f t="shared" si="23"/>
        <v>2587.2521566666801</v>
      </c>
      <c r="L84" s="91">
        <f t="shared" si="24"/>
        <v>64.681303916666664</v>
      </c>
      <c r="M84" s="92">
        <f t="shared" si="22"/>
        <v>43.120869277778006</v>
      </c>
      <c r="N84" s="100">
        <f t="shared" si="19"/>
        <v>107.80217319444466</v>
      </c>
      <c r="R84" s="96"/>
      <c r="S84" s="101" t="s">
        <v>273</v>
      </c>
      <c r="T84" s="90">
        <f t="shared" si="17"/>
        <v>4245.5166899999967</v>
      </c>
      <c r="U84" s="91">
        <f t="shared" si="18"/>
        <v>90.591687250000007</v>
      </c>
      <c r="V84" s="92">
        <f t="shared" si="14"/>
        <v>70.758611499999958</v>
      </c>
      <c r="W84" s="100">
        <f t="shared" si="12"/>
        <v>161.35029874999998</v>
      </c>
    </row>
    <row r="85" spans="2:24" x14ac:dyDescent="0.25">
      <c r="B85" s="96"/>
      <c r="C85" s="101" t="s">
        <v>274</v>
      </c>
      <c r="D85" s="90">
        <f t="shared" si="15"/>
        <v>1632.3541499999988</v>
      </c>
      <c r="E85" s="91">
        <f t="shared" si="16"/>
        <v>25.910383333333336</v>
      </c>
      <c r="F85" s="92">
        <f t="shared" si="20"/>
        <v>27.205902499999979</v>
      </c>
      <c r="G85" s="100">
        <f t="shared" si="21"/>
        <v>53.116285833333315</v>
      </c>
      <c r="I85" s="96"/>
      <c r="J85" s="101" t="s">
        <v>274</v>
      </c>
      <c r="K85" s="90">
        <f t="shared" si="23"/>
        <v>2522.5708527500133</v>
      </c>
      <c r="L85" s="91">
        <f t="shared" si="24"/>
        <v>64.681303916666664</v>
      </c>
      <c r="M85" s="92">
        <f t="shared" si="22"/>
        <v>42.04284754583356</v>
      </c>
      <c r="N85" s="100">
        <f t="shared" si="19"/>
        <v>106.72415146250023</v>
      </c>
      <c r="R85" s="96"/>
      <c r="S85" s="101" t="s">
        <v>274</v>
      </c>
      <c r="T85" s="90">
        <f t="shared" si="17"/>
        <v>4154.9250027499966</v>
      </c>
      <c r="U85" s="91">
        <f t="shared" si="18"/>
        <v>90.591687250000007</v>
      </c>
      <c r="V85" s="92">
        <f t="shared" si="14"/>
        <v>69.248750045833276</v>
      </c>
      <c r="W85" s="100">
        <f t="shared" si="12"/>
        <v>159.84043729583328</v>
      </c>
    </row>
    <row r="86" spans="2:24" x14ac:dyDescent="0.25">
      <c r="B86" s="96"/>
      <c r="C86" s="101" t="s">
        <v>275</v>
      </c>
      <c r="D86" s="90">
        <f t="shared" si="15"/>
        <v>1606.4437666666654</v>
      </c>
      <c r="E86" s="91">
        <f t="shared" si="16"/>
        <v>25.910383333333336</v>
      </c>
      <c r="F86" s="92">
        <f t="shared" si="20"/>
        <v>26.774062777777758</v>
      </c>
      <c r="G86" s="100">
        <f t="shared" si="21"/>
        <v>52.684446111111093</v>
      </c>
      <c r="I86" s="96"/>
      <c r="J86" s="101" t="s">
        <v>275</v>
      </c>
      <c r="K86" s="90">
        <f t="shared" si="23"/>
        <v>2457.8895488333465</v>
      </c>
      <c r="L86" s="91">
        <f t="shared" si="24"/>
        <v>64.681303916666664</v>
      </c>
      <c r="M86" s="92">
        <f t="shared" si="22"/>
        <v>40.964825813889114</v>
      </c>
      <c r="N86" s="100">
        <f t="shared" si="19"/>
        <v>105.64612973055577</v>
      </c>
      <c r="R86" s="96"/>
      <c r="S86" s="101" t="s">
        <v>275</v>
      </c>
      <c r="T86" s="90">
        <f t="shared" si="17"/>
        <v>4064.3333154999964</v>
      </c>
      <c r="U86" s="91">
        <f t="shared" si="18"/>
        <v>90.591687250000007</v>
      </c>
      <c r="V86" s="92">
        <f t="shared" si="14"/>
        <v>67.738888591666608</v>
      </c>
      <c r="W86" s="100">
        <f t="shared" si="12"/>
        <v>158.33057584166662</v>
      </c>
    </row>
    <row r="87" spans="2:24" x14ac:dyDescent="0.25">
      <c r="B87" s="96"/>
      <c r="C87" s="101" t="s">
        <v>276</v>
      </c>
      <c r="D87" s="90">
        <f t="shared" si="15"/>
        <v>1580.533383333332</v>
      </c>
      <c r="E87" s="91">
        <f t="shared" si="16"/>
        <v>25.910383333333336</v>
      </c>
      <c r="F87" s="92">
        <f t="shared" si="20"/>
        <v>26.342223055555536</v>
      </c>
      <c r="G87" s="100">
        <f t="shared" si="21"/>
        <v>52.252606388888871</v>
      </c>
      <c r="H87" s="94">
        <f>SUM(F76:F87)</f>
        <v>344.60809833333315</v>
      </c>
      <c r="I87" s="96"/>
      <c r="J87" s="101" t="s">
        <v>276</v>
      </c>
      <c r="K87" s="90">
        <f t="shared" si="23"/>
        <v>2393.2082449166796</v>
      </c>
      <c r="L87" s="91">
        <f t="shared" si="24"/>
        <v>64.681303916666664</v>
      </c>
      <c r="M87" s="92">
        <f t="shared" si="22"/>
        <v>39.886804081944661</v>
      </c>
      <c r="N87" s="100">
        <f t="shared" si="19"/>
        <v>104.56810799861132</v>
      </c>
      <c r="O87" s="94">
        <f>SUM(M76:M87)</f>
        <v>549.79108329166945</v>
      </c>
      <c r="R87" s="96"/>
      <c r="S87" s="101" t="s">
        <v>276</v>
      </c>
      <c r="T87" s="90">
        <f t="shared" si="17"/>
        <v>3973.7416282499962</v>
      </c>
      <c r="U87" s="91">
        <f t="shared" si="18"/>
        <v>90.591687250000007</v>
      </c>
      <c r="V87" s="92">
        <f t="shared" si="14"/>
        <v>66.229027137499941</v>
      </c>
      <c r="W87" s="100">
        <f t="shared" si="12"/>
        <v>156.82071438749995</v>
      </c>
      <c r="X87" s="94">
        <f>SUM(V76:V87)</f>
        <v>894.39918162499953</v>
      </c>
    </row>
    <row r="88" spans="2:24" x14ac:dyDescent="0.25">
      <c r="B88" s="96">
        <v>2034</v>
      </c>
      <c r="C88" s="99" t="s">
        <v>265</v>
      </c>
      <c r="D88" s="90">
        <f t="shared" si="15"/>
        <v>1554.6229999999987</v>
      </c>
      <c r="E88" s="91">
        <f t="shared" si="16"/>
        <v>25.910383333333336</v>
      </c>
      <c r="F88" s="92">
        <f t="shared" si="20"/>
        <v>25.910383333333314</v>
      </c>
      <c r="G88" s="100">
        <f t="shared" si="21"/>
        <v>51.82076666666665</v>
      </c>
      <c r="I88" s="96">
        <v>2034</v>
      </c>
      <c r="J88" s="99" t="s">
        <v>265</v>
      </c>
      <c r="K88" s="90">
        <f t="shared" si="23"/>
        <v>2328.5269410000128</v>
      </c>
      <c r="L88" s="91">
        <f t="shared" si="24"/>
        <v>64.681303916666664</v>
      </c>
      <c r="M88" s="92">
        <f t="shared" si="22"/>
        <v>38.808782350000214</v>
      </c>
      <c r="N88" s="100">
        <f t="shared" si="19"/>
        <v>103.49008626666688</v>
      </c>
      <c r="R88" s="96">
        <v>2034</v>
      </c>
      <c r="S88" s="99" t="s">
        <v>265</v>
      </c>
      <c r="T88" s="90">
        <f t="shared" si="17"/>
        <v>3883.149940999996</v>
      </c>
      <c r="U88" s="91">
        <f t="shared" si="18"/>
        <v>90.591687250000007</v>
      </c>
      <c r="V88" s="92">
        <f t="shared" si="14"/>
        <v>64.719165683333273</v>
      </c>
      <c r="W88" s="100">
        <f t="shared" si="12"/>
        <v>155.31085293333328</v>
      </c>
    </row>
    <row r="89" spans="2:24" x14ac:dyDescent="0.25">
      <c r="C89" s="93" t="s">
        <v>266</v>
      </c>
      <c r="D89" s="90">
        <f t="shared" si="15"/>
        <v>1528.7126166666653</v>
      </c>
      <c r="E89" s="91">
        <f t="shared" si="16"/>
        <v>25.910383333333336</v>
      </c>
      <c r="F89" s="92">
        <f t="shared" si="20"/>
        <v>25.478543611111089</v>
      </c>
      <c r="G89" s="90">
        <f t="shared" si="21"/>
        <v>51.388926944444421</v>
      </c>
      <c r="J89" s="93" t="s">
        <v>266</v>
      </c>
      <c r="K89" s="90">
        <f t="shared" si="23"/>
        <v>2263.845637083346</v>
      </c>
      <c r="L89" s="91">
        <f t="shared" si="24"/>
        <v>64.681303916666664</v>
      </c>
      <c r="M89" s="92">
        <f t="shared" si="22"/>
        <v>37.730760618055768</v>
      </c>
      <c r="N89" s="90">
        <f t="shared" si="19"/>
        <v>102.41206453472243</v>
      </c>
      <c r="S89" s="93" t="s">
        <v>266</v>
      </c>
      <c r="T89" s="90">
        <f t="shared" si="17"/>
        <v>3792.5582537499959</v>
      </c>
      <c r="U89" s="91">
        <f t="shared" si="18"/>
        <v>90.591687250000007</v>
      </c>
      <c r="V89" s="92">
        <f t="shared" ref="V89:V147" si="25">T89*$C$2/12</f>
        <v>63.209304229166605</v>
      </c>
      <c r="W89" s="90">
        <f t="shared" ref="W89:W147" si="26">U89+V89</f>
        <v>153.80099147916661</v>
      </c>
    </row>
    <row r="90" spans="2:24" x14ac:dyDescent="0.25">
      <c r="C90" s="93" t="s">
        <v>267</v>
      </c>
      <c r="D90" s="90">
        <f t="shared" ref="D90:D147" si="27">D89-E89</f>
        <v>1502.802233333332</v>
      </c>
      <c r="E90" s="91">
        <f t="shared" si="16"/>
        <v>25.910383333333336</v>
      </c>
      <c r="F90" s="92">
        <f t="shared" si="20"/>
        <v>25.046703888888867</v>
      </c>
      <c r="G90" s="90">
        <f t="shared" si="21"/>
        <v>50.957087222222199</v>
      </c>
      <c r="J90" s="93" t="s">
        <v>267</v>
      </c>
      <c r="K90" s="90">
        <f t="shared" si="23"/>
        <v>2199.1643331666792</v>
      </c>
      <c r="L90" s="91">
        <f t="shared" si="24"/>
        <v>64.681303916666664</v>
      </c>
      <c r="M90" s="92">
        <f t="shared" si="22"/>
        <v>36.652738886111322</v>
      </c>
      <c r="N90" s="90">
        <f t="shared" si="19"/>
        <v>101.33404280277799</v>
      </c>
      <c r="S90" s="93" t="s">
        <v>267</v>
      </c>
      <c r="T90" s="90">
        <f t="shared" si="17"/>
        <v>3701.9665664999957</v>
      </c>
      <c r="U90" s="91">
        <f t="shared" si="18"/>
        <v>90.591687250000007</v>
      </c>
      <c r="V90" s="92">
        <f t="shared" si="25"/>
        <v>61.69944277499993</v>
      </c>
      <c r="W90" s="90">
        <f t="shared" si="26"/>
        <v>152.29113002499994</v>
      </c>
    </row>
    <row r="91" spans="2:24" x14ac:dyDescent="0.25">
      <c r="C91" s="93" t="s">
        <v>268</v>
      </c>
      <c r="D91" s="90">
        <f t="shared" si="27"/>
        <v>1476.8918499999986</v>
      </c>
      <c r="E91" s="91">
        <f t="shared" si="16"/>
        <v>25.910383333333336</v>
      </c>
      <c r="F91" s="92">
        <f t="shared" si="20"/>
        <v>24.614864166666646</v>
      </c>
      <c r="G91" s="90">
        <f t="shared" si="21"/>
        <v>50.525247499999978</v>
      </c>
      <c r="J91" s="93" t="s">
        <v>268</v>
      </c>
      <c r="K91" s="90">
        <f t="shared" si="23"/>
        <v>2134.4830292500124</v>
      </c>
      <c r="L91" s="91">
        <f t="shared" si="24"/>
        <v>64.681303916666664</v>
      </c>
      <c r="M91" s="92">
        <f t="shared" si="22"/>
        <v>35.574717154166876</v>
      </c>
      <c r="N91" s="90">
        <f t="shared" si="19"/>
        <v>100.25602107083354</v>
      </c>
      <c r="S91" s="93" t="s">
        <v>268</v>
      </c>
      <c r="T91" s="90">
        <f t="shared" si="17"/>
        <v>3611.3748792499955</v>
      </c>
      <c r="U91" s="91">
        <f t="shared" si="18"/>
        <v>90.591687250000007</v>
      </c>
      <c r="V91" s="92">
        <f t="shared" si="25"/>
        <v>60.189581320833263</v>
      </c>
      <c r="W91" s="90">
        <f t="shared" si="26"/>
        <v>150.78126857083328</v>
      </c>
    </row>
    <row r="92" spans="2:24" x14ac:dyDescent="0.25">
      <c r="C92" s="93" t="s">
        <v>269</v>
      </c>
      <c r="D92" s="90">
        <f t="shared" si="27"/>
        <v>1450.9814666666653</v>
      </c>
      <c r="E92" s="91">
        <f t="shared" si="16"/>
        <v>25.910383333333336</v>
      </c>
      <c r="F92" s="92">
        <f t="shared" si="20"/>
        <v>24.183024444444424</v>
      </c>
      <c r="G92" s="90">
        <f t="shared" si="21"/>
        <v>50.093407777777756</v>
      </c>
      <c r="J92" s="93" t="s">
        <v>269</v>
      </c>
      <c r="K92" s="90">
        <f t="shared" si="23"/>
        <v>2069.8017253333455</v>
      </c>
      <c r="L92" s="91">
        <f t="shared" si="24"/>
        <v>64.681303916666664</v>
      </c>
      <c r="M92" s="92">
        <f t="shared" si="22"/>
        <v>34.496695422222423</v>
      </c>
      <c r="N92" s="90">
        <f t="shared" si="19"/>
        <v>99.177999338889094</v>
      </c>
      <c r="S92" s="93" t="s">
        <v>269</v>
      </c>
      <c r="T92" s="90">
        <f t="shared" si="17"/>
        <v>3520.7831919999953</v>
      </c>
      <c r="U92" s="91">
        <f t="shared" si="18"/>
        <v>90.591687250000007</v>
      </c>
      <c r="V92" s="92">
        <f t="shared" si="25"/>
        <v>58.679719866666595</v>
      </c>
      <c r="W92" s="90">
        <f t="shared" si="26"/>
        <v>149.27140711666661</v>
      </c>
    </row>
    <row r="93" spans="2:24" x14ac:dyDescent="0.25">
      <c r="C93" s="93" t="s">
        <v>270</v>
      </c>
      <c r="D93" s="90">
        <f t="shared" si="27"/>
        <v>1425.0710833333319</v>
      </c>
      <c r="E93" s="91">
        <f t="shared" ref="E93:E147" si="28">$D$28/120</f>
        <v>25.910383333333336</v>
      </c>
      <c r="F93" s="92">
        <f t="shared" si="20"/>
        <v>23.751184722222202</v>
      </c>
      <c r="G93" s="90">
        <f t="shared" si="21"/>
        <v>49.661568055555534</v>
      </c>
      <c r="J93" s="93" t="s">
        <v>270</v>
      </c>
      <c r="K93" s="90">
        <f t="shared" si="23"/>
        <v>2005.1204214166789</v>
      </c>
      <c r="L93" s="91">
        <f t="shared" si="24"/>
        <v>64.681303916666664</v>
      </c>
      <c r="M93" s="92">
        <f t="shared" si="22"/>
        <v>33.418673690277984</v>
      </c>
      <c r="N93" s="90">
        <f t="shared" si="19"/>
        <v>98.099977606944648</v>
      </c>
      <c r="S93" s="93" t="s">
        <v>270</v>
      </c>
      <c r="T93" s="90">
        <f t="shared" ref="T93:T147" si="29">T92-U92</f>
        <v>3430.1915047499951</v>
      </c>
      <c r="U93" s="91">
        <f t="shared" ref="U93:U123" si="30">$D$28/120+$T$4/120</f>
        <v>90.591687250000007</v>
      </c>
      <c r="V93" s="92">
        <f t="shared" si="25"/>
        <v>57.169858412499927</v>
      </c>
      <c r="W93" s="90">
        <f t="shared" si="26"/>
        <v>147.76154566249994</v>
      </c>
    </row>
    <row r="94" spans="2:24" x14ac:dyDescent="0.25">
      <c r="C94" s="93" t="s">
        <v>271</v>
      </c>
      <c r="D94" s="90">
        <f t="shared" si="27"/>
        <v>1399.1606999999985</v>
      </c>
      <c r="E94" s="91">
        <f t="shared" si="28"/>
        <v>25.910383333333336</v>
      </c>
      <c r="F94" s="92">
        <f t="shared" si="20"/>
        <v>23.319344999999974</v>
      </c>
      <c r="G94" s="90">
        <f t="shared" si="21"/>
        <v>49.229728333333313</v>
      </c>
      <c r="J94" s="93" t="s">
        <v>271</v>
      </c>
      <c r="K94" s="90">
        <f t="shared" si="23"/>
        <v>1940.4391175000123</v>
      </c>
      <c r="L94" s="91">
        <f t="shared" si="24"/>
        <v>64.681303916666664</v>
      </c>
      <c r="M94" s="92">
        <f t="shared" si="22"/>
        <v>32.340651958333545</v>
      </c>
      <c r="N94" s="90">
        <f t="shared" si="19"/>
        <v>97.021955875000202</v>
      </c>
      <c r="S94" s="93" t="s">
        <v>271</v>
      </c>
      <c r="T94" s="90">
        <f t="shared" si="29"/>
        <v>3339.599817499995</v>
      </c>
      <c r="U94" s="91">
        <f t="shared" si="30"/>
        <v>90.591687250000007</v>
      </c>
      <c r="V94" s="92">
        <f t="shared" si="25"/>
        <v>55.659996958333259</v>
      </c>
      <c r="W94" s="90">
        <f t="shared" si="26"/>
        <v>146.25168420833327</v>
      </c>
    </row>
    <row r="95" spans="2:24" x14ac:dyDescent="0.25">
      <c r="C95" s="93" t="s">
        <v>272</v>
      </c>
      <c r="D95" s="90">
        <f t="shared" si="27"/>
        <v>1373.2503166666652</v>
      </c>
      <c r="E95" s="91">
        <f t="shared" si="28"/>
        <v>25.910383333333336</v>
      </c>
      <c r="F95" s="92">
        <f t="shared" si="20"/>
        <v>22.887505277777752</v>
      </c>
      <c r="G95" s="90">
        <f t="shared" si="21"/>
        <v>48.797888611111091</v>
      </c>
      <c r="J95" s="93" t="s">
        <v>272</v>
      </c>
      <c r="K95" s="90">
        <f t="shared" si="23"/>
        <v>1875.7578135833458</v>
      </c>
      <c r="L95" s="91">
        <f t="shared" si="24"/>
        <v>64.681303916666664</v>
      </c>
      <c r="M95" s="92">
        <f t="shared" si="22"/>
        <v>31.262630226389096</v>
      </c>
      <c r="N95" s="90">
        <f t="shared" si="19"/>
        <v>95.943934143055756</v>
      </c>
      <c r="S95" s="93" t="s">
        <v>272</v>
      </c>
      <c r="T95" s="90">
        <f t="shared" si="29"/>
        <v>3249.0081302499948</v>
      </c>
      <c r="U95" s="91">
        <f t="shared" si="30"/>
        <v>90.591687250000007</v>
      </c>
      <c r="V95" s="92">
        <f t="shared" si="25"/>
        <v>54.150135504166578</v>
      </c>
      <c r="W95" s="90">
        <f t="shared" si="26"/>
        <v>144.74182275416658</v>
      </c>
    </row>
    <row r="96" spans="2:24" x14ac:dyDescent="0.25">
      <c r="C96" s="93" t="s">
        <v>273</v>
      </c>
      <c r="D96" s="90">
        <f t="shared" si="27"/>
        <v>1347.3399333333318</v>
      </c>
      <c r="E96" s="91">
        <f t="shared" si="28"/>
        <v>25.910383333333336</v>
      </c>
      <c r="F96" s="92">
        <f t="shared" si="20"/>
        <v>22.45566555555553</v>
      </c>
      <c r="G96" s="90">
        <f t="shared" si="21"/>
        <v>48.366048888888869</v>
      </c>
      <c r="J96" s="93" t="s">
        <v>273</v>
      </c>
      <c r="K96" s="90">
        <f t="shared" si="23"/>
        <v>1811.0765096666792</v>
      </c>
      <c r="L96" s="91">
        <f t="shared" si="24"/>
        <v>64.681303916666664</v>
      </c>
      <c r="M96" s="92">
        <f t="shared" si="22"/>
        <v>30.184608494444657</v>
      </c>
      <c r="N96" s="90">
        <f t="shared" si="19"/>
        <v>94.865912411111324</v>
      </c>
      <c r="S96" s="93" t="s">
        <v>273</v>
      </c>
      <c r="T96" s="90">
        <f t="shared" si="29"/>
        <v>3158.4164429999946</v>
      </c>
      <c r="U96" s="91">
        <f t="shared" si="30"/>
        <v>90.591687250000007</v>
      </c>
      <c r="V96" s="92">
        <f t="shared" si="25"/>
        <v>52.64027404999991</v>
      </c>
      <c r="W96" s="90">
        <f t="shared" si="26"/>
        <v>143.23196129999991</v>
      </c>
    </row>
    <row r="97" spans="2:24" x14ac:dyDescent="0.25">
      <c r="C97" s="93" t="s">
        <v>274</v>
      </c>
      <c r="D97" s="90">
        <f t="shared" si="27"/>
        <v>1321.4295499999985</v>
      </c>
      <c r="E97" s="91">
        <f t="shared" si="28"/>
        <v>25.910383333333336</v>
      </c>
      <c r="F97" s="92">
        <f t="shared" si="20"/>
        <v>22.023825833333309</v>
      </c>
      <c r="G97" s="90">
        <f t="shared" si="21"/>
        <v>47.934209166666648</v>
      </c>
      <c r="J97" s="93" t="s">
        <v>274</v>
      </c>
      <c r="K97" s="90">
        <f t="shared" si="23"/>
        <v>1746.3952057500126</v>
      </c>
      <c r="L97" s="91">
        <f t="shared" si="24"/>
        <v>64.681303916666664</v>
      </c>
      <c r="M97" s="92">
        <f t="shared" si="22"/>
        <v>29.106586762500211</v>
      </c>
      <c r="N97" s="90">
        <f t="shared" si="19"/>
        <v>93.787890679166878</v>
      </c>
      <c r="S97" s="93" t="s">
        <v>274</v>
      </c>
      <c r="T97" s="90">
        <f t="shared" si="29"/>
        <v>3067.8247557499944</v>
      </c>
      <c r="U97" s="91">
        <f t="shared" si="30"/>
        <v>90.591687250000007</v>
      </c>
      <c r="V97" s="92">
        <f t="shared" si="25"/>
        <v>51.130412595833242</v>
      </c>
      <c r="W97" s="90">
        <f t="shared" si="26"/>
        <v>141.72209984583324</v>
      </c>
    </row>
    <row r="98" spans="2:24" x14ac:dyDescent="0.25">
      <c r="C98" s="93" t="s">
        <v>275</v>
      </c>
      <c r="D98" s="90">
        <f t="shared" si="27"/>
        <v>1295.5191666666651</v>
      </c>
      <c r="E98" s="91">
        <f t="shared" si="28"/>
        <v>25.910383333333336</v>
      </c>
      <c r="F98" s="92">
        <f t="shared" si="20"/>
        <v>21.591986111111087</v>
      </c>
      <c r="G98" s="90">
        <f t="shared" si="21"/>
        <v>47.502369444444426</v>
      </c>
      <c r="J98" s="93" t="s">
        <v>275</v>
      </c>
      <c r="K98" s="90">
        <f t="shared" si="23"/>
        <v>1681.713901833346</v>
      </c>
      <c r="L98" s="91">
        <f t="shared" si="24"/>
        <v>64.681303916666664</v>
      </c>
      <c r="M98" s="92">
        <f t="shared" si="22"/>
        <v>28.028565030555768</v>
      </c>
      <c r="N98" s="90">
        <f t="shared" si="19"/>
        <v>92.709868947222432</v>
      </c>
      <c r="S98" s="93" t="s">
        <v>275</v>
      </c>
      <c r="T98" s="90">
        <f t="shared" si="29"/>
        <v>2977.2330684999943</v>
      </c>
      <c r="U98" s="91">
        <f t="shared" si="30"/>
        <v>90.591687250000007</v>
      </c>
      <c r="V98" s="92">
        <f t="shared" si="25"/>
        <v>49.620551141666574</v>
      </c>
      <c r="W98" s="90">
        <f t="shared" si="26"/>
        <v>140.21223839166657</v>
      </c>
    </row>
    <row r="99" spans="2:24" x14ac:dyDescent="0.25">
      <c r="C99" s="93" t="s">
        <v>276</v>
      </c>
      <c r="D99" s="90">
        <f t="shared" si="27"/>
        <v>1269.6087833333318</v>
      </c>
      <c r="E99" s="91">
        <f t="shared" si="28"/>
        <v>25.910383333333336</v>
      </c>
      <c r="F99" s="92">
        <f t="shared" si="20"/>
        <v>21.160146388888865</v>
      </c>
      <c r="G99" s="90">
        <f t="shared" si="21"/>
        <v>47.070529722222204</v>
      </c>
      <c r="H99" s="94">
        <f>SUM(F88:F99)</f>
        <v>282.42317833333306</v>
      </c>
      <c r="J99" s="93" t="s">
        <v>276</v>
      </c>
      <c r="K99" s="90">
        <f t="shared" si="23"/>
        <v>1617.0325979166794</v>
      </c>
      <c r="L99" s="91">
        <f t="shared" si="24"/>
        <v>64.681303916666664</v>
      </c>
      <c r="M99" s="92">
        <f t="shared" si="22"/>
        <v>26.950543298611326</v>
      </c>
      <c r="N99" s="90">
        <f t="shared" si="19"/>
        <v>91.631847215277986</v>
      </c>
      <c r="O99" s="94">
        <f>SUM(M88:M99)</f>
        <v>394.55595389166916</v>
      </c>
      <c r="S99" s="93" t="s">
        <v>276</v>
      </c>
      <c r="T99" s="90">
        <f t="shared" si="29"/>
        <v>2886.6413812499941</v>
      </c>
      <c r="U99" s="91">
        <f t="shared" si="30"/>
        <v>90.591687250000007</v>
      </c>
      <c r="V99" s="92">
        <f t="shared" si="25"/>
        <v>48.110689687499899</v>
      </c>
      <c r="W99" s="90">
        <f t="shared" si="26"/>
        <v>138.70237693749991</v>
      </c>
      <c r="X99" s="94">
        <f>SUM(V88:V99)</f>
        <v>676.97913222499915</v>
      </c>
    </row>
    <row r="100" spans="2:24" x14ac:dyDescent="0.25">
      <c r="B100">
        <v>2035</v>
      </c>
      <c r="C100" s="102" t="s">
        <v>265</v>
      </c>
      <c r="D100" s="90">
        <f t="shared" si="27"/>
        <v>1243.6983999999984</v>
      </c>
      <c r="E100" s="91">
        <f t="shared" si="28"/>
        <v>25.910383333333336</v>
      </c>
      <c r="F100" s="92">
        <f t="shared" si="20"/>
        <v>20.72830666666664</v>
      </c>
      <c r="G100" s="90">
        <f t="shared" si="21"/>
        <v>46.638689999999976</v>
      </c>
      <c r="I100">
        <v>2035</v>
      </c>
      <c r="J100" s="102" t="s">
        <v>265</v>
      </c>
      <c r="K100" s="90">
        <f>K99-L99</f>
        <v>1552.3512940000128</v>
      </c>
      <c r="L100" s="91">
        <f t="shared" si="24"/>
        <v>64.681303916666664</v>
      </c>
      <c r="M100" s="92">
        <f t="shared" si="22"/>
        <v>25.87252156666688</v>
      </c>
      <c r="N100" s="90">
        <f t="shared" si="19"/>
        <v>90.55382548333354</v>
      </c>
      <c r="R100">
        <v>2035</v>
      </c>
      <c r="S100" s="102" t="s">
        <v>265</v>
      </c>
      <c r="T100" s="90">
        <f t="shared" si="29"/>
        <v>2796.0496939999939</v>
      </c>
      <c r="U100" s="91">
        <f t="shared" si="30"/>
        <v>90.591687250000007</v>
      </c>
      <c r="V100" s="92">
        <f t="shared" si="25"/>
        <v>46.600828233333232</v>
      </c>
      <c r="W100" s="90">
        <f t="shared" si="26"/>
        <v>137.19251548333324</v>
      </c>
    </row>
    <row r="101" spans="2:24" x14ac:dyDescent="0.25">
      <c r="B101" s="98"/>
      <c r="C101" s="103" t="s">
        <v>266</v>
      </c>
      <c r="D101" s="90">
        <f t="shared" si="27"/>
        <v>1217.788016666665</v>
      </c>
      <c r="E101" s="91">
        <f t="shared" si="28"/>
        <v>25.910383333333336</v>
      </c>
      <c r="F101" s="92">
        <f t="shared" si="20"/>
        <v>20.296466944444418</v>
      </c>
      <c r="G101" s="90">
        <f t="shared" si="21"/>
        <v>46.206850277777754</v>
      </c>
      <c r="I101" s="98"/>
      <c r="J101" s="103" t="s">
        <v>266</v>
      </c>
      <c r="K101" s="90">
        <f t="shared" si="23"/>
        <v>1487.6699900833462</v>
      </c>
      <c r="L101" s="91">
        <f t="shared" si="24"/>
        <v>64.681303916666664</v>
      </c>
      <c r="M101" s="92">
        <f t="shared" si="22"/>
        <v>24.794499834722441</v>
      </c>
      <c r="N101" s="104">
        <f t="shared" si="19"/>
        <v>89.475803751389108</v>
      </c>
      <c r="R101" s="98"/>
      <c r="S101" s="103" t="s">
        <v>266</v>
      </c>
      <c r="T101" s="90">
        <f t="shared" si="29"/>
        <v>2705.4580067499937</v>
      </c>
      <c r="U101" s="91">
        <f t="shared" si="30"/>
        <v>90.591687250000007</v>
      </c>
      <c r="V101" s="92">
        <f t="shared" si="25"/>
        <v>45.090966779166564</v>
      </c>
      <c r="W101" s="90">
        <f t="shared" si="26"/>
        <v>135.68265402916657</v>
      </c>
    </row>
    <row r="102" spans="2:24" x14ac:dyDescent="0.25">
      <c r="B102" s="98"/>
      <c r="C102" s="103" t="s">
        <v>267</v>
      </c>
      <c r="D102" s="90">
        <f t="shared" si="27"/>
        <v>1191.8776333333317</v>
      </c>
      <c r="E102" s="91">
        <f t="shared" si="28"/>
        <v>25.910383333333336</v>
      </c>
      <c r="F102" s="92">
        <f t="shared" si="20"/>
        <v>19.864627222222197</v>
      </c>
      <c r="G102" s="90">
        <f t="shared" si="21"/>
        <v>45.775010555555532</v>
      </c>
      <c r="I102" s="98"/>
      <c r="J102" s="103" t="s">
        <v>267</v>
      </c>
      <c r="K102" s="90">
        <f t="shared" si="23"/>
        <v>1422.9886861666796</v>
      </c>
      <c r="L102" s="91">
        <f t="shared" si="24"/>
        <v>64.681303916666664</v>
      </c>
      <c r="M102" s="92">
        <f t="shared" si="22"/>
        <v>23.716478102777995</v>
      </c>
      <c r="N102" s="104">
        <f t="shared" si="19"/>
        <v>88.397782019444662</v>
      </c>
      <c r="R102" s="98"/>
      <c r="S102" s="103" t="s">
        <v>267</v>
      </c>
      <c r="T102" s="90">
        <f t="shared" si="29"/>
        <v>2614.8663194999936</v>
      </c>
      <c r="U102" s="91">
        <f t="shared" si="30"/>
        <v>90.591687250000007</v>
      </c>
      <c r="V102" s="92">
        <f t="shared" si="25"/>
        <v>43.581105324999896</v>
      </c>
      <c r="W102" s="90">
        <f t="shared" si="26"/>
        <v>134.1727925749999</v>
      </c>
    </row>
    <row r="103" spans="2:24" x14ac:dyDescent="0.25">
      <c r="B103" s="98"/>
      <c r="C103" s="103" t="s">
        <v>268</v>
      </c>
      <c r="D103" s="90">
        <f t="shared" si="27"/>
        <v>1165.9672499999983</v>
      </c>
      <c r="E103" s="91">
        <f t="shared" si="28"/>
        <v>25.910383333333336</v>
      </c>
      <c r="F103" s="92">
        <f t="shared" si="20"/>
        <v>19.432787499999971</v>
      </c>
      <c r="G103" s="90">
        <f t="shared" si="21"/>
        <v>45.343170833333303</v>
      </c>
      <c r="I103" s="98"/>
      <c r="J103" s="103" t="s">
        <v>268</v>
      </c>
      <c r="K103" s="90">
        <f t="shared" si="23"/>
        <v>1358.307382250013</v>
      </c>
      <c r="L103" s="91">
        <f t="shared" si="24"/>
        <v>64.681303916666664</v>
      </c>
      <c r="M103" s="92">
        <f t="shared" si="22"/>
        <v>22.638456370833552</v>
      </c>
      <c r="N103" s="104">
        <f t="shared" si="19"/>
        <v>87.319760287500216</v>
      </c>
      <c r="R103" s="98"/>
      <c r="S103" s="103" t="s">
        <v>268</v>
      </c>
      <c r="T103" s="90">
        <f t="shared" si="29"/>
        <v>2524.2746322499934</v>
      </c>
      <c r="U103" s="91">
        <f t="shared" si="30"/>
        <v>90.591687250000007</v>
      </c>
      <c r="V103" s="92">
        <f t="shared" si="25"/>
        <v>42.071243870833221</v>
      </c>
      <c r="W103" s="90">
        <f t="shared" si="26"/>
        <v>132.66293112083324</v>
      </c>
    </row>
    <row r="104" spans="2:24" x14ac:dyDescent="0.25">
      <c r="B104" s="98"/>
      <c r="C104" s="103" t="s">
        <v>269</v>
      </c>
      <c r="D104" s="90">
        <f t="shared" si="27"/>
        <v>1140.056866666665</v>
      </c>
      <c r="E104" s="91">
        <f t="shared" si="28"/>
        <v>25.910383333333336</v>
      </c>
      <c r="F104" s="92">
        <f t="shared" si="20"/>
        <v>19.00094777777775</v>
      </c>
      <c r="G104" s="90">
        <f t="shared" si="21"/>
        <v>44.911331111111082</v>
      </c>
      <c r="I104" s="98"/>
      <c r="J104" s="103" t="s">
        <v>269</v>
      </c>
      <c r="K104" s="90">
        <f t="shared" si="23"/>
        <v>1293.6260783333464</v>
      </c>
      <c r="L104" s="91">
        <f t="shared" si="24"/>
        <v>64.681303916666664</v>
      </c>
      <c r="M104" s="92">
        <f t="shared" si="22"/>
        <v>21.560434638889106</v>
      </c>
      <c r="N104" s="104">
        <f t="shared" si="19"/>
        <v>86.24173855555577</v>
      </c>
      <c r="R104" s="98"/>
      <c r="S104" s="103" t="s">
        <v>269</v>
      </c>
      <c r="T104" s="90">
        <f t="shared" si="29"/>
        <v>2433.6829449999932</v>
      </c>
      <c r="U104" s="91">
        <f t="shared" si="30"/>
        <v>90.591687250000007</v>
      </c>
      <c r="V104" s="92">
        <f t="shared" si="25"/>
        <v>40.561382416666554</v>
      </c>
      <c r="W104" s="90">
        <f t="shared" si="26"/>
        <v>131.15306966666657</v>
      </c>
    </row>
    <row r="105" spans="2:24" x14ac:dyDescent="0.25">
      <c r="B105" s="98"/>
      <c r="C105" s="103" t="s">
        <v>270</v>
      </c>
      <c r="D105" s="90">
        <f t="shared" si="27"/>
        <v>1114.1464833333316</v>
      </c>
      <c r="E105" s="91">
        <f t="shared" si="28"/>
        <v>25.910383333333336</v>
      </c>
      <c r="F105" s="92">
        <f t="shared" si="20"/>
        <v>18.569108055555528</v>
      </c>
      <c r="G105" s="90">
        <f t="shared" si="21"/>
        <v>44.47949138888886</v>
      </c>
      <c r="I105" s="98"/>
      <c r="J105" s="103" t="s">
        <v>270</v>
      </c>
      <c r="K105" s="90">
        <f t="shared" si="23"/>
        <v>1228.9447744166798</v>
      </c>
      <c r="L105" s="91">
        <f t="shared" si="24"/>
        <v>64.681303916666664</v>
      </c>
      <c r="M105" s="92">
        <f t="shared" si="22"/>
        <v>20.482412906944663</v>
      </c>
      <c r="N105" s="104">
        <f t="shared" si="19"/>
        <v>85.163716823611324</v>
      </c>
      <c r="R105" s="98"/>
      <c r="S105" s="103" t="s">
        <v>270</v>
      </c>
      <c r="T105" s="90">
        <f t="shared" si="29"/>
        <v>2343.091257749993</v>
      </c>
      <c r="U105" s="91">
        <f t="shared" si="30"/>
        <v>90.591687250000007</v>
      </c>
      <c r="V105" s="92">
        <f t="shared" si="25"/>
        <v>39.051520962499886</v>
      </c>
      <c r="W105" s="90">
        <f t="shared" si="26"/>
        <v>129.6432082124999</v>
      </c>
    </row>
    <row r="106" spans="2:24" x14ac:dyDescent="0.25">
      <c r="B106" s="98"/>
      <c r="C106" s="103" t="s">
        <v>271</v>
      </c>
      <c r="D106" s="90">
        <f t="shared" si="27"/>
        <v>1088.2360999999983</v>
      </c>
      <c r="E106" s="91">
        <f t="shared" si="28"/>
        <v>25.910383333333336</v>
      </c>
      <c r="F106" s="92">
        <f t="shared" si="20"/>
        <v>18.137268333333306</v>
      </c>
      <c r="G106" s="90">
        <f t="shared" si="21"/>
        <v>44.047651666666638</v>
      </c>
      <c r="I106" s="98"/>
      <c r="J106" s="103" t="s">
        <v>271</v>
      </c>
      <c r="K106" s="90">
        <f t="shared" si="23"/>
        <v>1164.2634705000132</v>
      </c>
      <c r="L106" s="91">
        <f t="shared" si="24"/>
        <v>64.681303916666664</v>
      </c>
      <c r="M106" s="92">
        <f t="shared" si="22"/>
        <v>19.404391175000221</v>
      </c>
      <c r="N106" s="104">
        <f t="shared" si="19"/>
        <v>84.085695091666878</v>
      </c>
      <c r="R106" s="98"/>
      <c r="S106" s="103" t="s">
        <v>271</v>
      </c>
      <c r="T106" s="90">
        <f t="shared" si="29"/>
        <v>2252.4995704999928</v>
      </c>
      <c r="U106" s="91">
        <f t="shared" si="30"/>
        <v>90.591687250000007</v>
      </c>
      <c r="V106" s="92">
        <f t="shared" si="25"/>
        <v>37.541659508333218</v>
      </c>
      <c r="W106" s="90">
        <f t="shared" si="26"/>
        <v>128.13334675833323</v>
      </c>
    </row>
    <row r="107" spans="2:24" x14ac:dyDescent="0.25">
      <c r="B107" s="98"/>
      <c r="C107" s="103" t="s">
        <v>272</v>
      </c>
      <c r="D107" s="90">
        <f t="shared" si="27"/>
        <v>1062.3257166666649</v>
      </c>
      <c r="E107" s="91">
        <f t="shared" si="28"/>
        <v>25.910383333333336</v>
      </c>
      <c r="F107" s="92">
        <f t="shared" si="20"/>
        <v>17.705428611111085</v>
      </c>
      <c r="G107" s="90">
        <f t="shared" si="21"/>
        <v>43.615811944444417</v>
      </c>
      <c r="I107" s="98"/>
      <c r="J107" s="103" t="s">
        <v>272</v>
      </c>
      <c r="K107" s="90">
        <f t="shared" si="23"/>
        <v>1099.5821665833466</v>
      </c>
      <c r="L107" s="91">
        <f t="shared" si="24"/>
        <v>64.681303916666664</v>
      </c>
      <c r="M107" s="92">
        <f t="shared" si="22"/>
        <v>18.326369443055778</v>
      </c>
      <c r="N107" s="104">
        <f t="shared" si="19"/>
        <v>83.007673359722446</v>
      </c>
      <c r="R107" s="98"/>
      <c r="S107" s="103" t="s">
        <v>272</v>
      </c>
      <c r="T107" s="90">
        <f t="shared" si="29"/>
        <v>2161.9078832499927</v>
      </c>
      <c r="U107" s="91">
        <f t="shared" si="30"/>
        <v>90.591687250000007</v>
      </c>
      <c r="V107" s="92">
        <f t="shared" si="25"/>
        <v>36.031798054166551</v>
      </c>
      <c r="W107" s="90">
        <f t="shared" si="26"/>
        <v>126.62348530416656</v>
      </c>
    </row>
    <row r="108" spans="2:24" x14ac:dyDescent="0.25">
      <c r="B108" s="98"/>
      <c r="C108" s="103" t="s">
        <v>273</v>
      </c>
      <c r="D108" s="90">
        <f t="shared" si="27"/>
        <v>1036.4153333333315</v>
      </c>
      <c r="E108" s="91">
        <f t="shared" si="28"/>
        <v>25.910383333333336</v>
      </c>
      <c r="F108" s="92">
        <f t="shared" si="20"/>
        <v>17.27358888888886</v>
      </c>
      <c r="G108" s="90">
        <f t="shared" si="21"/>
        <v>43.183972222222195</v>
      </c>
      <c r="I108" s="98"/>
      <c r="J108" s="103" t="s">
        <v>273</v>
      </c>
      <c r="K108" s="90">
        <f t="shared" si="23"/>
        <v>1034.90086266668</v>
      </c>
      <c r="L108" s="91">
        <f t="shared" si="24"/>
        <v>64.681303916666664</v>
      </c>
      <c r="M108" s="92">
        <f t="shared" si="22"/>
        <v>17.248347711111336</v>
      </c>
      <c r="N108" s="104">
        <f t="shared" si="19"/>
        <v>81.929651627778</v>
      </c>
      <c r="R108" s="98"/>
      <c r="S108" s="103" t="s">
        <v>273</v>
      </c>
      <c r="T108" s="90">
        <f t="shared" si="29"/>
        <v>2071.3161959999925</v>
      </c>
      <c r="U108" s="91">
        <f t="shared" si="30"/>
        <v>90.591687250000007</v>
      </c>
      <c r="V108" s="92">
        <f t="shared" si="25"/>
        <v>34.521936599999876</v>
      </c>
      <c r="W108" s="90">
        <f t="shared" si="26"/>
        <v>125.11362384999988</v>
      </c>
    </row>
    <row r="109" spans="2:24" x14ac:dyDescent="0.25">
      <c r="B109" s="98"/>
      <c r="C109" s="103" t="s">
        <v>274</v>
      </c>
      <c r="D109" s="90">
        <f t="shared" si="27"/>
        <v>1010.5049499999982</v>
      </c>
      <c r="E109" s="91">
        <f t="shared" si="28"/>
        <v>25.910383333333336</v>
      </c>
      <c r="F109" s="92">
        <f t="shared" si="20"/>
        <v>16.841749166666638</v>
      </c>
      <c r="G109" s="90">
        <f t="shared" si="21"/>
        <v>42.752132499999973</v>
      </c>
      <c r="I109" s="98"/>
      <c r="J109" s="103" t="s">
        <v>274</v>
      </c>
      <c r="K109" s="90">
        <f t="shared" si="23"/>
        <v>970.21955875001333</v>
      </c>
      <c r="L109" s="91">
        <f t="shared" si="24"/>
        <v>64.681303916666664</v>
      </c>
      <c r="M109" s="92">
        <f t="shared" si="22"/>
        <v>16.17032597916689</v>
      </c>
      <c r="N109" s="104">
        <f t="shared" si="19"/>
        <v>80.851629895833554</v>
      </c>
      <c r="R109" s="98"/>
      <c r="S109" s="103" t="s">
        <v>274</v>
      </c>
      <c r="T109" s="90">
        <f t="shared" si="29"/>
        <v>1980.7245087499925</v>
      </c>
      <c r="U109" s="91">
        <f t="shared" si="30"/>
        <v>90.591687250000007</v>
      </c>
      <c r="V109" s="92">
        <f t="shared" si="25"/>
        <v>33.012075145833215</v>
      </c>
      <c r="W109" s="90">
        <f t="shared" si="26"/>
        <v>123.60376239583323</v>
      </c>
    </row>
    <row r="110" spans="2:24" x14ac:dyDescent="0.25">
      <c r="B110" s="98"/>
      <c r="C110" s="103" t="s">
        <v>275</v>
      </c>
      <c r="D110" s="90">
        <f t="shared" si="27"/>
        <v>984.59456666666483</v>
      </c>
      <c r="E110" s="91">
        <f t="shared" si="28"/>
        <v>25.910383333333336</v>
      </c>
      <c r="F110" s="92">
        <f t="shared" si="20"/>
        <v>16.409909444444413</v>
      </c>
      <c r="G110" s="90">
        <f t="shared" si="21"/>
        <v>42.320292777777752</v>
      </c>
      <c r="I110" s="98"/>
      <c r="J110" s="103" t="s">
        <v>275</v>
      </c>
      <c r="K110" s="90">
        <f t="shared" si="23"/>
        <v>905.53825483334663</v>
      </c>
      <c r="L110" s="91">
        <f t="shared" si="24"/>
        <v>64.681303916666664</v>
      </c>
      <c r="M110" s="92">
        <f t="shared" si="22"/>
        <v>15.092304247222444</v>
      </c>
      <c r="N110" s="104">
        <f t="shared" si="19"/>
        <v>79.773608163889108</v>
      </c>
      <c r="R110" s="98"/>
      <c r="S110" s="103" t="s">
        <v>275</v>
      </c>
      <c r="T110" s="90">
        <f t="shared" si="29"/>
        <v>1890.1328214999926</v>
      </c>
      <c r="U110" s="91">
        <f t="shared" si="30"/>
        <v>90.591687250000007</v>
      </c>
      <c r="V110" s="92">
        <f t="shared" si="25"/>
        <v>31.502213691666544</v>
      </c>
      <c r="W110" s="90">
        <f t="shared" si="26"/>
        <v>122.09390094166655</v>
      </c>
    </row>
    <row r="111" spans="2:24" x14ac:dyDescent="0.25">
      <c r="B111" s="98"/>
      <c r="C111" s="103" t="s">
        <v>276</v>
      </c>
      <c r="D111" s="90">
        <f t="shared" si="27"/>
        <v>958.68418333333148</v>
      </c>
      <c r="E111" s="91">
        <f t="shared" si="28"/>
        <v>25.910383333333336</v>
      </c>
      <c r="F111" s="92">
        <f t="shared" si="20"/>
        <v>15.978069722222193</v>
      </c>
      <c r="G111" s="90">
        <f t="shared" si="21"/>
        <v>41.88845305555553</v>
      </c>
      <c r="H111" s="94">
        <f>SUM(F100:F111)</f>
        <v>220.23825833333299</v>
      </c>
      <c r="I111" s="98"/>
      <c r="J111" s="103" t="s">
        <v>276</v>
      </c>
      <c r="K111" s="90">
        <f t="shared" si="23"/>
        <v>840.85695091667992</v>
      </c>
      <c r="L111" s="91">
        <f t="shared" si="24"/>
        <v>64.681303916666664</v>
      </c>
      <c r="M111" s="92">
        <f t="shared" si="22"/>
        <v>14.014282515278</v>
      </c>
      <c r="N111" s="104">
        <f t="shared" si="19"/>
        <v>78.695586431944662</v>
      </c>
      <c r="O111" s="94">
        <f>SUM(M100:M111)</f>
        <v>239.32082449166933</v>
      </c>
      <c r="R111" s="98"/>
      <c r="S111" s="103" t="s">
        <v>276</v>
      </c>
      <c r="T111" s="90">
        <f t="shared" si="29"/>
        <v>1799.5411342499926</v>
      </c>
      <c r="U111" s="91">
        <f t="shared" si="30"/>
        <v>90.591687250000007</v>
      </c>
      <c r="V111" s="92">
        <f t="shared" si="25"/>
        <v>29.992352237499876</v>
      </c>
      <c r="W111" s="90">
        <f t="shared" si="26"/>
        <v>120.58403948749988</v>
      </c>
      <c r="X111" s="94">
        <f>SUM(V100:V111)</f>
        <v>459.5590828249986</v>
      </c>
    </row>
    <row r="112" spans="2:24" x14ac:dyDescent="0.25">
      <c r="B112" s="98">
        <v>2036</v>
      </c>
      <c r="C112" s="102" t="s">
        <v>265</v>
      </c>
      <c r="D112" s="90">
        <f t="shared" si="27"/>
        <v>932.77379999999812</v>
      </c>
      <c r="E112" s="91">
        <f t="shared" si="28"/>
        <v>25.910383333333336</v>
      </c>
      <c r="F112" s="92">
        <f t="shared" si="20"/>
        <v>15.546229999999971</v>
      </c>
      <c r="G112" s="90">
        <f t="shared" si="21"/>
        <v>41.456613333333308</v>
      </c>
      <c r="I112" s="98">
        <v>2036</v>
      </c>
      <c r="J112" s="102" t="s">
        <v>265</v>
      </c>
      <c r="K112" s="90">
        <f t="shared" si="23"/>
        <v>776.17564700001321</v>
      </c>
      <c r="L112" s="91">
        <f t="shared" si="24"/>
        <v>64.681303916666664</v>
      </c>
      <c r="M112" s="92">
        <f t="shared" si="22"/>
        <v>12.936260783333553</v>
      </c>
      <c r="N112" s="104">
        <f t="shared" si="19"/>
        <v>77.617564700000216</v>
      </c>
      <c r="R112" s="98">
        <v>2036</v>
      </c>
      <c r="S112" s="102" t="s">
        <v>265</v>
      </c>
      <c r="T112" s="90">
        <f t="shared" si="29"/>
        <v>1708.9494469999927</v>
      </c>
      <c r="U112" s="91">
        <f t="shared" si="30"/>
        <v>90.591687250000007</v>
      </c>
      <c r="V112" s="92">
        <f t="shared" si="25"/>
        <v>28.482490783333215</v>
      </c>
      <c r="W112" s="90">
        <f t="shared" si="26"/>
        <v>119.07417803333323</v>
      </c>
    </row>
    <row r="113" spans="2:24" x14ac:dyDescent="0.25">
      <c r="B113" s="98"/>
      <c r="C113" s="103" t="s">
        <v>266</v>
      </c>
      <c r="D113" s="90">
        <f t="shared" si="27"/>
        <v>906.86341666666476</v>
      </c>
      <c r="E113" s="91">
        <f t="shared" si="28"/>
        <v>25.910383333333336</v>
      </c>
      <c r="F113" s="92">
        <f t="shared" si="20"/>
        <v>15.114390277777746</v>
      </c>
      <c r="G113" s="90">
        <f t="shared" si="21"/>
        <v>41.02477361111108</v>
      </c>
      <c r="I113" s="98"/>
      <c r="J113" s="103" t="s">
        <v>266</v>
      </c>
      <c r="K113" s="90">
        <f t="shared" si="23"/>
        <v>711.49434308334651</v>
      </c>
      <c r="L113" s="91">
        <f t="shared" si="24"/>
        <v>64.681303916666664</v>
      </c>
      <c r="M113" s="92">
        <f t="shared" si="22"/>
        <v>11.858239051389107</v>
      </c>
      <c r="N113" s="104">
        <f t="shared" si="19"/>
        <v>76.53954296805577</v>
      </c>
      <c r="R113" s="98"/>
      <c r="S113" s="103" t="s">
        <v>266</v>
      </c>
      <c r="T113" s="90">
        <f t="shared" si="29"/>
        <v>1618.3577597499927</v>
      </c>
      <c r="U113" s="91">
        <f t="shared" si="30"/>
        <v>90.591687250000007</v>
      </c>
      <c r="V113" s="92">
        <f t="shared" si="25"/>
        <v>26.972629329166548</v>
      </c>
      <c r="W113" s="90">
        <f t="shared" si="26"/>
        <v>117.56431657916656</v>
      </c>
    </row>
    <row r="114" spans="2:24" x14ac:dyDescent="0.25">
      <c r="C114" s="103" t="s">
        <v>267</v>
      </c>
      <c r="D114" s="90">
        <f t="shared" si="27"/>
        <v>880.9530333333314</v>
      </c>
      <c r="E114" s="91">
        <f t="shared" si="28"/>
        <v>25.910383333333336</v>
      </c>
      <c r="F114" s="92">
        <f t="shared" si="20"/>
        <v>14.682550555555524</v>
      </c>
      <c r="G114" s="90">
        <f t="shared" si="21"/>
        <v>40.592933888888858</v>
      </c>
      <c r="J114" s="103" t="s">
        <v>267</v>
      </c>
      <c r="K114" s="90">
        <f t="shared" si="23"/>
        <v>646.8130391666798</v>
      </c>
      <c r="L114" s="91">
        <f t="shared" si="24"/>
        <v>64.681303916666664</v>
      </c>
      <c r="M114" s="92">
        <f t="shared" si="22"/>
        <v>10.780217319444665</v>
      </c>
      <c r="N114" s="104">
        <f t="shared" si="19"/>
        <v>75.461521236111324</v>
      </c>
      <c r="S114" s="103" t="s">
        <v>267</v>
      </c>
      <c r="T114" s="90">
        <f t="shared" si="29"/>
        <v>1527.7660724999928</v>
      </c>
      <c r="U114" s="91">
        <f t="shared" si="30"/>
        <v>90.591687250000007</v>
      </c>
      <c r="V114" s="92">
        <f t="shared" si="25"/>
        <v>25.46276787499988</v>
      </c>
      <c r="W114" s="90">
        <f t="shared" si="26"/>
        <v>116.05445512499989</v>
      </c>
    </row>
    <row r="115" spans="2:24" x14ac:dyDescent="0.25">
      <c r="C115" s="103" t="s">
        <v>268</v>
      </c>
      <c r="D115" s="90">
        <f t="shared" si="27"/>
        <v>855.04264999999805</v>
      </c>
      <c r="E115" s="91">
        <f t="shared" si="28"/>
        <v>25.910383333333336</v>
      </c>
      <c r="F115" s="92">
        <f t="shared" si="20"/>
        <v>14.250710833333301</v>
      </c>
      <c r="G115" s="90">
        <f t="shared" si="21"/>
        <v>40.161094166666636</v>
      </c>
      <c r="J115" s="103" t="s">
        <v>268</v>
      </c>
      <c r="K115" s="90">
        <f t="shared" si="23"/>
        <v>582.13173525001309</v>
      </c>
      <c r="L115" s="91">
        <f t="shared" si="24"/>
        <v>64.681303916666664</v>
      </c>
      <c r="M115" s="92">
        <f t="shared" si="22"/>
        <v>9.7021955875002188</v>
      </c>
      <c r="N115" s="104">
        <f t="shared" si="19"/>
        <v>74.383499504166878</v>
      </c>
      <c r="S115" s="103" t="s">
        <v>268</v>
      </c>
      <c r="T115" s="90">
        <f t="shared" si="29"/>
        <v>1437.1743852499928</v>
      </c>
      <c r="U115" s="91">
        <f t="shared" si="30"/>
        <v>90.591687250000007</v>
      </c>
      <c r="V115" s="92">
        <f t="shared" si="25"/>
        <v>23.952906420833216</v>
      </c>
      <c r="W115" s="90">
        <f t="shared" si="26"/>
        <v>114.54459367083322</v>
      </c>
    </row>
    <row r="116" spans="2:24" x14ac:dyDescent="0.25">
      <c r="C116" s="103" t="s">
        <v>269</v>
      </c>
      <c r="D116" s="90">
        <f t="shared" si="27"/>
        <v>829.13226666666469</v>
      </c>
      <c r="E116" s="91">
        <f t="shared" si="28"/>
        <v>25.910383333333336</v>
      </c>
      <c r="F116" s="92">
        <f t="shared" si="20"/>
        <v>13.818871111111079</v>
      </c>
      <c r="G116" s="90">
        <f t="shared" si="21"/>
        <v>39.729254444444415</v>
      </c>
      <c r="J116" s="103" t="s">
        <v>269</v>
      </c>
      <c r="K116" s="90">
        <f t="shared" si="23"/>
        <v>517.45043133334639</v>
      </c>
      <c r="L116" s="91">
        <f t="shared" si="24"/>
        <v>64.681303916666664</v>
      </c>
      <c r="M116" s="92">
        <f t="shared" si="22"/>
        <v>8.6241738555557728</v>
      </c>
      <c r="N116" s="104">
        <f t="shared" si="19"/>
        <v>73.305477772222432</v>
      </c>
      <c r="S116" s="103" t="s">
        <v>269</v>
      </c>
      <c r="T116" s="90">
        <f t="shared" si="29"/>
        <v>1346.5826979999929</v>
      </c>
      <c r="U116" s="91">
        <f t="shared" si="30"/>
        <v>90.591687250000007</v>
      </c>
      <c r="V116" s="92">
        <f t="shared" si="25"/>
        <v>22.443044966666548</v>
      </c>
      <c r="W116" s="90">
        <f t="shared" si="26"/>
        <v>113.03473221666655</v>
      </c>
    </row>
    <row r="117" spans="2:24" x14ac:dyDescent="0.25">
      <c r="C117" s="103" t="s">
        <v>270</v>
      </c>
      <c r="D117" s="90">
        <f t="shared" si="27"/>
        <v>803.22188333333133</v>
      </c>
      <c r="E117" s="91">
        <f t="shared" si="28"/>
        <v>25.910383333333336</v>
      </c>
      <c r="F117" s="92">
        <f t="shared" si="20"/>
        <v>13.387031388888857</v>
      </c>
      <c r="G117" s="90">
        <f t="shared" si="21"/>
        <v>39.297414722222193</v>
      </c>
      <c r="J117" s="103" t="s">
        <v>270</v>
      </c>
      <c r="K117" s="90">
        <f t="shared" si="23"/>
        <v>452.76912741667974</v>
      </c>
      <c r="L117" s="91">
        <f t="shared" si="24"/>
        <v>64.681303916666664</v>
      </c>
      <c r="M117" s="92">
        <f t="shared" si="22"/>
        <v>7.5461521236113294</v>
      </c>
      <c r="N117" s="104">
        <f t="shared" si="19"/>
        <v>72.227456040278</v>
      </c>
      <c r="S117" s="103" t="s">
        <v>270</v>
      </c>
      <c r="T117" s="90">
        <f t="shared" si="29"/>
        <v>1255.9910107499929</v>
      </c>
      <c r="U117" s="91">
        <f t="shared" si="30"/>
        <v>90.591687250000007</v>
      </c>
      <c r="V117" s="92">
        <f t="shared" si="25"/>
        <v>20.933183512499884</v>
      </c>
      <c r="W117" s="90">
        <f t="shared" si="26"/>
        <v>111.52487076249989</v>
      </c>
    </row>
    <row r="118" spans="2:24" x14ac:dyDescent="0.25">
      <c r="C118" s="103" t="s">
        <v>271</v>
      </c>
      <c r="D118" s="90">
        <f t="shared" si="27"/>
        <v>777.31149999999798</v>
      </c>
      <c r="E118" s="91">
        <f t="shared" si="28"/>
        <v>25.910383333333336</v>
      </c>
      <c r="F118" s="92">
        <f t="shared" si="20"/>
        <v>12.955191666666634</v>
      </c>
      <c r="G118" s="90">
        <f t="shared" si="21"/>
        <v>38.865574999999971</v>
      </c>
      <c r="J118" s="103" t="s">
        <v>271</v>
      </c>
      <c r="K118" s="90">
        <f t="shared" si="23"/>
        <v>388.08782350001309</v>
      </c>
      <c r="L118" s="91">
        <f t="shared" si="24"/>
        <v>64.681303916666664</v>
      </c>
      <c r="M118" s="92">
        <f t="shared" si="22"/>
        <v>6.4681303916668851</v>
      </c>
      <c r="N118" s="104">
        <f t="shared" si="19"/>
        <v>71.149434308333554</v>
      </c>
      <c r="S118" s="103" t="s">
        <v>271</v>
      </c>
      <c r="T118" s="90">
        <f t="shared" si="29"/>
        <v>1165.399323499993</v>
      </c>
      <c r="U118" s="91">
        <f t="shared" si="30"/>
        <v>90.591687250000007</v>
      </c>
      <c r="V118" s="92">
        <f t="shared" si="25"/>
        <v>19.423322058333216</v>
      </c>
      <c r="W118" s="90">
        <f t="shared" si="26"/>
        <v>110.01500930833322</v>
      </c>
    </row>
    <row r="119" spans="2:24" x14ac:dyDescent="0.25">
      <c r="C119" s="103" t="s">
        <v>272</v>
      </c>
      <c r="D119" s="90">
        <f t="shared" si="27"/>
        <v>751.40111666666462</v>
      </c>
      <c r="E119" s="91">
        <f t="shared" si="28"/>
        <v>25.910383333333336</v>
      </c>
      <c r="F119" s="92">
        <f t="shared" si="20"/>
        <v>12.523351944444412</v>
      </c>
      <c r="G119" s="90">
        <f t="shared" si="21"/>
        <v>38.43373527777775</v>
      </c>
      <c r="J119" s="103" t="s">
        <v>272</v>
      </c>
      <c r="K119" s="90">
        <f t="shared" si="23"/>
        <v>323.40651958334644</v>
      </c>
      <c r="L119" s="91">
        <f t="shared" si="24"/>
        <v>64.681303916666664</v>
      </c>
      <c r="M119" s="92">
        <f t="shared" si="22"/>
        <v>5.3901086597224408</v>
      </c>
      <c r="N119" s="104">
        <f t="shared" si="19"/>
        <v>70.071412576389108</v>
      </c>
      <c r="S119" s="103" t="s">
        <v>272</v>
      </c>
      <c r="T119" s="90">
        <f t="shared" si="29"/>
        <v>1074.807636249993</v>
      </c>
      <c r="U119" s="91">
        <f t="shared" si="30"/>
        <v>90.591687250000007</v>
      </c>
      <c r="V119" s="92">
        <f t="shared" si="25"/>
        <v>17.913460604166552</v>
      </c>
      <c r="W119" s="90">
        <f t="shared" si="26"/>
        <v>108.50514785416655</v>
      </c>
    </row>
    <row r="120" spans="2:24" x14ac:dyDescent="0.25">
      <c r="C120" s="103" t="s">
        <v>273</v>
      </c>
      <c r="D120" s="90">
        <f t="shared" si="27"/>
        <v>725.49073333333126</v>
      </c>
      <c r="E120" s="91">
        <f t="shared" si="28"/>
        <v>25.910383333333336</v>
      </c>
      <c r="F120" s="92">
        <f t="shared" si="20"/>
        <v>12.091512222222187</v>
      </c>
      <c r="G120" s="90">
        <f t="shared" si="21"/>
        <v>38.001895555555521</v>
      </c>
      <c r="J120" s="103" t="s">
        <v>273</v>
      </c>
      <c r="K120" s="90">
        <f t="shared" si="23"/>
        <v>258.72521566667979</v>
      </c>
      <c r="L120" s="91">
        <f t="shared" si="24"/>
        <v>64.681303916666664</v>
      </c>
      <c r="M120" s="92">
        <f t="shared" si="22"/>
        <v>4.3120869277779965</v>
      </c>
      <c r="N120" s="104">
        <f t="shared" si="19"/>
        <v>68.993390844444662</v>
      </c>
      <c r="S120" s="103" t="s">
        <v>273</v>
      </c>
      <c r="T120" s="90">
        <f t="shared" si="29"/>
        <v>984.21594899999309</v>
      </c>
      <c r="U120" s="91">
        <f t="shared" si="30"/>
        <v>90.591687250000007</v>
      </c>
      <c r="V120" s="92">
        <f t="shared" si="25"/>
        <v>16.403599149999888</v>
      </c>
      <c r="W120" s="90">
        <f t="shared" si="26"/>
        <v>106.9952863999999</v>
      </c>
    </row>
    <row r="121" spans="2:24" x14ac:dyDescent="0.25">
      <c r="C121" s="103" t="s">
        <v>274</v>
      </c>
      <c r="D121" s="90">
        <f t="shared" si="27"/>
        <v>699.58034999999791</v>
      </c>
      <c r="E121" s="91">
        <f t="shared" si="28"/>
        <v>25.910383333333336</v>
      </c>
      <c r="F121" s="92">
        <f t="shared" si="20"/>
        <v>11.659672499999965</v>
      </c>
      <c r="G121" s="90">
        <f t="shared" si="21"/>
        <v>37.570055833333299</v>
      </c>
      <c r="J121" s="103" t="s">
        <v>274</v>
      </c>
      <c r="K121" s="90">
        <f t="shared" si="23"/>
        <v>194.04391175001314</v>
      </c>
      <c r="L121" s="91">
        <f t="shared" si="24"/>
        <v>64.681303916666664</v>
      </c>
      <c r="M121" s="92">
        <f t="shared" si="22"/>
        <v>3.2340651958335527</v>
      </c>
      <c r="N121" s="104">
        <f t="shared" si="19"/>
        <v>67.915369112500215</v>
      </c>
      <c r="S121" s="103" t="s">
        <v>274</v>
      </c>
      <c r="T121" s="90">
        <f t="shared" si="29"/>
        <v>893.62426174999314</v>
      </c>
      <c r="U121" s="91">
        <f t="shared" si="30"/>
        <v>90.591687250000007</v>
      </c>
      <c r="V121" s="92">
        <f t="shared" si="25"/>
        <v>14.893737695833218</v>
      </c>
      <c r="W121" s="90">
        <f t="shared" si="26"/>
        <v>105.48542494583323</v>
      </c>
    </row>
    <row r="122" spans="2:24" x14ac:dyDescent="0.25">
      <c r="C122" s="103" t="s">
        <v>275</v>
      </c>
      <c r="D122" s="90">
        <f t="shared" si="27"/>
        <v>673.66996666666455</v>
      </c>
      <c r="E122" s="91">
        <f t="shared" si="28"/>
        <v>25.910383333333336</v>
      </c>
      <c r="F122" s="92">
        <f t="shared" si="20"/>
        <v>11.227832777777742</v>
      </c>
      <c r="G122" s="90">
        <f t="shared" si="21"/>
        <v>37.138216111111078</v>
      </c>
      <c r="J122" s="103" t="s">
        <v>275</v>
      </c>
      <c r="K122" s="90">
        <f t="shared" si="23"/>
        <v>129.36260783334649</v>
      </c>
      <c r="L122" s="91">
        <f t="shared" si="24"/>
        <v>64.681303916666664</v>
      </c>
      <c r="M122" s="92">
        <f t="shared" si="22"/>
        <v>2.1560434638891084</v>
      </c>
      <c r="N122" s="104">
        <f t="shared" si="19"/>
        <v>66.837347380555769</v>
      </c>
      <c r="S122" s="103" t="s">
        <v>275</v>
      </c>
      <c r="T122" s="90">
        <f t="shared" si="29"/>
        <v>803.03257449999319</v>
      </c>
      <c r="U122" s="91">
        <f t="shared" si="30"/>
        <v>90.591687250000007</v>
      </c>
      <c r="V122" s="92">
        <f t="shared" si="25"/>
        <v>13.383876241666554</v>
      </c>
      <c r="W122" s="90">
        <f t="shared" si="26"/>
        <v>103.97556349166656</v>
      </c>
    </row>
    <row r="123" spans="2:24" x14ac:dyDescent="0.25">
      <c r="C123" s="103" t="s">
        <v>276</v>
      </c>
      <c r="D123" s="90">
        <f t="shared" si="27"/>
        <v>647.75958333333119</v>
      </c>
      <c r="E123" s="91">
        <f t="shared" si="28"/>
        <v>25.910383333333336</v>
      </c>
      <c r="F123" s="92">
        <f t="shared" si="20"/>
        <v>10.79599305555552</v>
      </c>
      <c r="G123" s="90">
        <f t="shared" si="21"/>
        <v>36.706376388888856</v>
      </c>
      <c r="H123" s="94">
        <f>SUM(F112:F123)</f>
        <v>158.05333833333296</v>
      </c>
      <c r="J123" s="103" t="s">
        <v>276</v>
      </c>
      <c r="K123" s="90">
        <f t="shared" si="23"/>
        <v>64.681303916679823</v>
      </c>
      <c r="L123" s="91">
        <f t="shared" si="24"/>
        <v>64.681303916666664</v>
      </c>
      <c r="M123" s="92">
        <f t="shared" si="22"/>
        <v>1.0780217319446639</v>
      </c>
      <c r="N123" s="104">
        <f t="shared" si="19"/>
        <v>65.759325648611323</v>
      </c>
      <c r="O123" s="94">
        <f>SUM(M112:M123)</f>
        <v>84.085695091669294</v>
      </c>
      <c r="S123" s="103" t="s">
        <v>276</v>
      </c>
      <c r="T123" s="90">
        <f t="shared" si="29"/>
        <v>712.44088724999324</v>
      </c>
      <c r="U123" s="91">
        <f t="shared" si="30"/>
        <v>90.591687250000007</v>
      </c>
      <c r="V123" s="92">
        <f t="shared" si="25"/>
        <v>11.874014787499888</v>
      </c>
      <c r="W123" s="90">
        <f t="shared" si="26"/>
        <v>102.4657020374999</v>
      </c>
      <c r="X123" s="94">
        <f>SUM(V112:V123)</f>
        <v>242.13903342499856</v>
      </c>
    </row>
    <row r="124" spans="2:24" x14ac:dyDescent="0.25">
      <c r="B124" s="98">
        <v>2037</v>
      </c>
      <c r="C124" s="102" t="s">
        <v>265</v>
      </c>
      <c r="D124" s="90">
        <f t="shared" si="27"/>
        <v>621.84919999999784</v>
      </c>
      <c r="E124" s="91">
        <f t="shared" si="28"/>
        <v>25.910383333333336</v>
      </c>
      <c r="F124" s="92">
        <f t="shared" si="20"/>
        <v>10.364153333333297</v>
      </c>
      <c r="G124" s="90">
        <f t="shared" si="21"/>
        <v>36.274536666666634</v>
      </c>
      <c r="I124" s="98">
        <v>2037</v>
      </c>
      <c r="J124" s="102" t="s">
        <v>265</v>
      </c>
      <c r="K124" s="90"/>
      <c r="L124" s="91"/>
      <c r="M124" s="92"/>
      <c r="N124" s="104"/>
      <c r="R124" s="98">
        <v>2037</v>
      </c>
      <c r="S124" s="102" t="s">
        <v>265</v>
      </c>
      <c r="T124" s="90">
        <f t="shared" si="29"/>
        <v>621.84919999999329</v>
      </c>
      <c r="U124" s="91">
        <f t="shared" ref="U124:U147" si="31">$D$28/120</f>
        <v>25.910383333333336</v>
      </c>
      <c r="V124" s="92">
        <f t="shared" si="25"/>
        <v>10.364153333333222</v>
      </c>
      <c r="W124" s="90">
        <f t="shared" si="26"/>
        <v>36.274536666666556</v>
      </c>
    </row>
    <row r="125" spans="2:24" x14ac:dyDescent="0.25">
      <c r="B125" s="98"/>
      <c r="C125" s="103" t="s">
        <v>266</v>
      </c>
      <c r="D125" s="90">
        <f t="shared" si="27"/>
        <v>595.93881666666448</v>
      </c>
      <c r="E125" s="91">
        <f t="shared" si="28"/>
        <v>25.910383333333336</v>
      </c>
      <c r="F125" s="92">
        <f t="shared" si="20"/>
        <v>9.9323136111110752</v>
      </c>
      <c r="G125" s="90">
        <f t="shared" si="21"/>
        <v>35.842696944444413</v>
      </c>
      <c r="I125" s="98"/>
      <c r="J125" s="103" t="s">
        <v>266</v>
      </c>
      <c r="K125" s="90"/>
      <c r="L125" s="91"/>
      <c r="M125" s="92"/>
      <c r="N125" s="104"/>
      <c r="R125" s="98"/>
      <c r="S125" s="103" t="s">
        <v>266</v>
      </c>
      <c r="T125" s="90">
        <f t="shared" si="29"/>
        <v>595.93881666665993</v>
      </c>
      <c r="U125" s="91">
        <f t="shared" si="31"/>
        <v>25.910383333333336</v>
      </c>
      <c r="V125" s="92">
        <f t="shared" si="25"/>
        <v>9.9323136111109989</v>
      </c>
      <c r="W125" s="90">
        <f t="shared" si="26"/>
        <v>35.842696944444334</v>
      </c>
    </row>
    <row r="126" spans="2:24" x14ac:dyDescent="0.25">
      <c r="C126" s="103" t="s">
        <v>267</v>
      </c>
      <c r="D126" s="90">
        <f t="shared" si="27"/>
        <v>570.02843333333112</v>
      </c>
      <c r="E126" s="91">
        <f t="shared" si="28"/>
        <v>25.910383333333336</v>
      </c>
      <c r="F126" s="92">
        <f t="shared" si="20"/>
        <v>9.5004738888888536</v>
      </c>
      <c r="G126" s="90">
        <f t="shared" si="21"/>
        <v>35.410857222222191</v>
      </c>
      <c r="J126" s="103" t="s">
        <v>267</v>
      </c>
      <c r="K126" s="90"/>
      <c r="L126" s="91"/>
      <c r="M126" s="92"/>
      <c r="N126" s="104"/>
      <c r="S126" s="103" t="s">
        <v>267</v>
      </c>
      <c r="T126" s="90">
        <f t="shared" si="29"/>
        <v>570.02843333332657</v>
      </c>
      <c r="U126" s="91">
        <f t="shared" si="31"/>
        <v>25.910383333333336</v>
      </c>
      <c r="V126" s="92">
        <f t="shared" si="25"/>
        <v>9.5004738888887772</v>
      </c>
      <c r="W126" s="90">
        <f t="shared" si="26"/>
        <v>35.410857222222113</v>
      </c>
    </row>
    <row r="127" spans="2:24" x14ac:dyDescent="0.25">
      <c r="C127" s="103" t="s">
        <v>268</v>
      </c>
      <c r="D127" s="90">
        <f t="shared" si="27"/>
        <v>544.11804999999777</v>
      </c>
      <c r="E127" s="91">
        <f t="shared" si="28"/>
        <v>25.910383333333336</v>
      </c>
      <c r="F127" s="92">
        <f t="shared" si="20"/>
        <v>9.0686341666666301</v>
      </c>
      <c r="G127" s="90">
        <f t="shared" si="21"/>
        <v>34.979017499999969</v>
      </c>
      <c r="J127" s="103" t="s">
        <v>268</v>
      </c>
      <c r="K127" s="90"/>
      <c r="L127" s="91"/>
      <c r="M127" s="92"/>
      <c r="N127" s="104"/>
      <c r="S127" s="103" t="s">
        <v>268</v>
      </c>
      <c r="T127" s="90">
        <f t="shared" si="29"/>
        <v>544.11804999999322</v>
      </c>
      <c r="U127" s="91">
        <f t="shared" si="31"/>
        <v>25.910383333333336</v>
      </c>
      <c r="V127" s="92">
        <f t="shared" si="25"/>
        <v>9.0686341666665538</v>
      </c>
      <c r="W127" s="90">
        <f t="shared" si="26"/>
        <v>34.979017499999891</v>
      </c>
    </row>
    <row r="128" spans="2:24" x14ac:dyDescent="0.25">
      <c r="C128" s="103" t="s">
        <v>269</v>
      </c>
      <c r="D128" s="90">
        <f t="shared" si="27"/>
        <v>518.20766666666441</v>
      </c>
      <c r="E128" s="91">
        <f t="shared" si="28"/>
        <v>25.910383333333336</v>
      </c>
      <c r="F128" s="92">
        <f t="shared" si="20"/>
        <v>8.6367944444444067</v>
      </c>
      <c r="G128" s="90">
        <f t="shared" si="21"/>
        <v>34.54717777777774</v>
      </c>
      <c r="J128" s="103" t="s">
        <v>269</v>
      </c>
      <c r="K128" s="90"/>
      <c r="L128" s="91"/>
      <c r="M128" s="92"/>
      <c r="N128" s="104"/>
      <c r="S128" s="103" t="s">
        <v>269</v>
      </c>
      <c r="T128" s="90">
        <f t="shared" si="29"/>
        <v>518.20766666665986</v>
      </c>
      <c r="U128" s="91">
        <f t="shared" si="31"/>
        <v>25.910383333333336</v>
      </c>
      <c r="V128" s="92">
        <f t="shared" si="25"/>
        <v>8.6367944444443321</v>
      </c>
      <c r="W128" s="90">
        <f t="shared" si="26"/>
        <v>34.547177777777669</v>
      </c>
    </row>
    <row r="129" spans="2:24" x14ac:dyDescent="0.25">
      <c r="C129" s="103" t="s">
        <v>270</v>
      </c>
      <c r="D129" s="90">
        <f t="shared" si="27"/>
        <v>492.29728333333105</v>
      </c>
      <c r="E129" s="91">
        <f t="shared" si="28"/>
        <v>25.910383333333336</v>
      </c>
      <c r="F129" s="92">
        <f t="shared" si="20"/>
        <v>8.204954722222185</v>
      </c>
      <c r="G129" s="90">
        <f t="shared" si="21"/>
        <v>34.115338055555519</v>
      </c>
      <c r="J129" s="103" t="s">
        <v>270</v>
      </c>
      <c r="K129" s="90"/>
      <c r="L129" s="91"/>
      <c r="M129" s="92"/>
      <c r="N129" s="104"/>
      <c r="S129" s="103" t="s">
        <v>270</v>
      </c>
      <c r="T129" s="90">
        <f t="shared" si="29"/>
        <v>492.2972833333265</v>
      </c>
      <c r="U129" s="91">
        <f t="shared" si="31"/>
        <v>25.910383333333336</v>
      </c>
      <c r="V129" s="92">
        <f t="shared" si="25"/>
        <v>8.2049547222221086</v>
      </c>
      <c r="W129" s="90">
        <f t="shared" si="26"/>
        <v>34.115338055555441</v>
      </c>
    </row>
    <row r="130" spans="2:24" x14ac:dyDescent="0.25">
      <c r="C130" s="103" t="s">
        <v>271</v>
      </c>
      <c r="D130" s="90">
        <f t="shared" si="27"/>
        <v>466.38689999999769</v>
      </c>
      <c r="E130" s="91">
        <f t="shared" si="28"/>
        <v>25.910383333333336</v>
      </c>
      <c r="F130" s="92">
        <f t="shared" si="20"/>
        <v>7.7731149999999616</v>
      </c>
      <c r="G130" s="90">
        <f t="shared" si="21"/>
        <v>33.683498333333297</v>
      </c>
      <c r="J130" s="103" t="s">
        <v>271</v>
      </c>
      <c r="K130" s="90"/>
      <c r="L130" s="91"/>
      <c r="M130" s="92"/>
      <c r="N130" s="104"/>
      <c r="S130" s="103" t="s">
        <v>271</v>
      </c>
      <c r="T130" s="90">
        <f t="shared" si="29"/>
        <v>466.38689999999315</v>
      </c>
      <c r="U130" s="91">
        <f t="shared" si="31"/>
        <v>25.910383333333336</v>
      </c>
      <c r="V130" s="92">
        <f t="shared" si="25"/>
        <v>7.7731149999998861</v>
      </c>
      <c r="W130" s="90">
        <f t="shared" si="26"/>
        <v>33.683498333333219</v>
      </c>
    </row>
    <row r="131" spans="2:24" x14ac:dyDescent="0.25">
      <c r="C131" s="103" t="s">
        <v>272</v>
      </c>
      <c r="D131" s="90">
        <f t="shared" si="27"/>
        <v>440.47651666666434</v>
      </c>
      <c r="E131" s="91">
        <f t="shared" si="28"/>
        <v>25.910383333333336</v>
      </c>
      <c r="F131" s="92">
        <f t="shared" si="20"/>
        <v>7.3412752777777399</v>
      </c>
      <c r="G131" s="90">
        <f t="shared" si="21"/>
        <v>33.251658611111075</v>
      </c>
      <c r="J131" s="103" t="s">
        <v>272</v>
      </c>
      <c r="K131" s="90"/>
      <c r="L131" s="91"/>
      <c r="M131" s="92"/>
      <c r="N131" s="104"/>
      <c r="S131" s="103" t="s">
        <v>272</v>
      </c>
      <c r="T131" s="90">
        <f t="shared" si="29"/>
        <v>440.47651666665979</v>
      </c>
      <c r="U131" s="91">
        <f t="shared" si="31"/>
        <v>25.910383333333336</v>
      </c>
      <c r="V131" s="92">
        <f t="shared" si="25"/>
        <v>7.3412752777776644</v>
      </c>
      <c r="W131" s="90">
        <f t="shared" si="26"/>
        <v>33.251658611110997</v>
      </c>
    </row>
    <row r="132" spans="2:24" x14ac:dyDescent="0.25">
      <c r="C132" s="103" t="s">
        <v>273</v>
      </c>
      <c r="D132" s="90">
        <f t="shared" si="27"/>
        <v>414.56613333333098</v>
      </c>
      <c r="E132" s="91">
        <f t="shared" si="28"/>
        <v>25.910383333333336</v>
      </c>
      <c r="F132" s="92">
        <f t="shared" si="20"/>
        <v>6.9094355555555174</v>
      </c>
      <c r="G132" s="90">
        <f t="shared" si="21"/>
        <v>32.819818888888854</v>
      </c>
      <c r="J132" s="103" t="s">
        <v>273</v>
      </c>
      <c r="K132" s="90"/>
      <c r="L132" s="91"/>
      <c r="M132" s="92"/>
      <c r="N132" s="104"/>
      <c r="S132" s="103" t="s">
        <v>273</v>
      </c>
      <c r="T132" s="90">
        <f t="shared" si="29"/>
        <v>414.56613333332643</v>
      </c>
      <c r="U132" s="91">
        <f t="shared" si="31"/>
        <v>25.910383333333336</v>
      </c>
      <c r="V132" s="92">
        <f t="shared" si="25"/>
        <v>6.909435555555441</v>
      </c>
      <c r="W132" s="90">
        <f t="shared" si="26"/>
        <v>32.819818888888776</v>
      </c>
    </row>
    <row r="133" spans="2:24" x14ac:dyDescent="0.25">
      <c r="C133" s="103" t="s">
        <v>274</v>
      </c>
      <c r="D133" s="90">
        <f t="shared" si="27"/>
        <v>388.65574999999762</v>
      </c>
      <c r="E133" s="91">
        <f t="shared" si="28"/>
        <v>25.910383333333336</v>
      </c>
      <c r="F133" s="92">
        <f t="shared" ref="F133:F147" si="32">D133*$C$2/12</f>
        <v>6.4775958333332939</v>
      </c>
      <c r="G133" s="90">
        <f t="shared" ref="G133:G147" si="33">E133+F133</f>
        <v>32.387979166666632</v>
      </c>
      <c r="J133" s="103" t="s">
        <v>274</v>
      </c>
      <c r="K133" s="90"/>
      <c r="L133" s="91"/>
      <c r="M133" s="92"/>
      <c r="N133" s="104"/>
      <c r="S133" s="103" t="s">
        <v>274</v>
      </c>
      <c r="T133" s="90">
        <f t="shared" si="29"/>
        <v>388.65574999999308</v>
      </c>
      <c r="U133" s="91">
        <f t="shared" si="31"/>
        <v>25.910383333333336</v>
      </c>
      <c r="V133" s="92">
        <f t="shared" si="25"/>
        <v>6.4775958333332184</v>
      </c>
      <c r="W133" s="90">
        <f t="shared" si="26"/>
        <v>32.387979166666554</v>
      </c>
    </row>
    <row r="134" spans="2:24" x14ac:dyDescent="0.25">
      <c r="C134" s="103" t="s">
        <v>275</v>
      </c>
      <c r="D134" s="90">
        <f t="shared" si="27"/>
        <v>362.74536666666427</v>
      </c>
      <c r="E134" s="91">
        <f t="shared" si="28"/>
        <v>25.910383333333336</v>
      </c>
      <c r="F134" s="92">
        <f t="shared" si="32"/>
        <v>6.0457561111110714</v>
      </c>
      <c r="G134" s="90">
        <f t="shared" si="33"/>
        <v>31.956139444444407</v>
      </c>
      <c r="J134" s="103" t="s">
        <v>275</v>
      </c>
      <c r="K134" s="90"/>
      <c r="L134" s="91"/>
      <c r="M134" s="92"/>
      <c r="N134" s="104"/>
      <c r="S134" s="103" t="s">
        <v>275</v>
      </c>
      <c r="T134" s="90">
        <f t="shared" si="29"/>
        <v>362.74536666665972</v>
      </c>
      <c r="U134" s="91">
        <f t="shared" si="31"/>
        <v>25.910383333333336</v>
      </c>
      <c r="V134" s="92">
        <f t="shared" si="25"/>
        <v>6.0457561111109959</v>
      </c>
      <c r="W134" s="90">
        <f t="shared" si="26"/>
        <v>31.956139444444332</v>
      </c>
    </row>
    <row r="135" spans="2:24" x14ac:dyDescent="0.25">
      <c r="C135" s="103" t="s">
        <v>276</v>
      </c>
      <c r="D135" s="90">
        <f t="shared" si="27"/>
        <v>336.83498333333091</v>
      </c>
      <c r="E135" s="91">
        <f t="shared" si="28"/>
        <v>25.910383333333336</v>
      </c>
      <c r="F135" s="92">
        <f t="shared" si="32"/>
        <v>5.6139163888888488</v>
      </c>
      <c r="G135" s="90">
        <f t="shared" si="33"/>
        <v>31.524299722222185</v>
      </c>
      <c r="H135" s="94">
        <f>SUM(F124:F135)</f>
        <v>95.868418333332883</v>
      </c>
      <c r="J135" s="103" t="s">
        <v>276</v>
      </c>
      <c r="K135" s="90"/>
      <c r="L135" s="91"/>
      <c r="M135" s="92"/>
      <c r="N135" s="104"/>
      <c r="O135" s="94">
        <f>SUM(M124:M135)</f>
        <v>0</v>
      </c>
      <c r="S135" s="103" t="s">
        <v>276</v>
      </c>
      <c r="T135" s="90">
        <f t="shared" si="29"/>
        <v>336.83498333332636</v>
      </c>
      <c r="U135" s="91">
        <f t="shared" si="31"/>
        <v>25.910383333333336</v>
      </c>
      <c r="V135" s="92">
        <f t="shared" si="25"/>
        <v>5.6139163888887724</v>
      </c>
      <c r="W135" s="90">
        <f t="shared" si="26"/>
        <v>31.524299722222107</v>
      </c>
      <c r="X135" s="94">
        <f>SUM(V124:V135)</f>
        <v>95.868418333331974</v>
      </c>
    </row>
    <row r="136" spans="2:24" x14ac:dyDescent="0.25">
      <c r="B136" s="98">
        <v>2038</v>
      </c>
      <c r="C136" s="102" t="s">
        <v>265</v>
      </c>
      <c r="D136" s="90">
        <f t="shared" si="27"/>
        <v>310.92459999999755</v>
      </c>
      <c r="E136" s="91">
        <f t="shared" si="28"/>
        <v>25.910383333333336</v>
      </c>
      <c r="F136" s="92">
        <f t="shared" si="32"/>
        <v>5.1820766666666263</v>
      </c>
      <c r="G136" s="90">
        <f t="shared" si="33"/>
        <v>31.09245999999996</v>
      </c>
      <c r="H136" s="91"/>
      <c r="I136" s="98">
        <v>2038</v>
      </c>
      <c r="K136" s="90"/>
      <c r="L136" s="91">
        <f>SUM(L4:L123)</f>
        <v>7761.7564699999866</v>
      </c>
      <c r="M136" s="91">
        <f>SUM(M4:M123)</f>
        <v>7826.4377739166912</v>
      </c>
      <c r="N136" s="91">
        <f>SUM(N4:N123)</f>
        <v>15588.194243916689</v>
      </c>
      <c r="O136" s="105">
        <f>SUM(O4:O123)</f>
        <v>7826.4377739166903</v>
      </c>
      <c r="R136" s="98">
        <v>2038</v>
      </c>
      <c r="S136" s="102" t="s">
        <v>265</v>
      </c>
      <c r="T136" s="90">
        <f t="shared" si="29"/>
        <v>310.92459999999301</v>
      </c>
      <c r="U136" s="91">
        <f t="shared" si="31"/>
        <v>25.910383333333336</v>
      </c>
      <c r="V136" s="92">
        <f t="shared" si="25"/>
        <v>5.1820766666665508</v>
      </c>
      <c r="W136" s="90">
        <f t="shared" si="26"/>
        <v>31.092459999999885</v>
      </c>
      <c r="X136" s="105"/>
    </row>
    <row r="137" spans="2:24" x14ac:dyDescent="0.25">
      <c r="B137" s="98"/>
      <c r="C137" s="103" t="s">
        <v>266</v>
      </c>
      <c r="D137" s="90">
        <f t="shared" si="27"/>
        <v>285.0142166666642</v>
      </c>
      <c r="E137" s="91">
        <f t="shared" si="28"/>
        <v>25.910383333333336</v>
      </c>
      <c r="F137" s="92">
        <f t="shared" si="32"/>
        <v>4.7502369444444037</v>
      </c>
      <c r="G137" s="90">
        <f t="shared" si="33"/>
        <v>30.660620277777738</v>
      </c>
      <c r="I137" s="98"/>
      <c r="K137" s="106"/>
      <c r="L137" s="94">
        <f>L136-K4</f>
        <v>-1.3642420526593924E-11</v>
      </c>
      <c r="N137" s="94">
        <f>L136+M136</f>
        <v>15588.194243916678</v>
      </c>
      <c r="R137" s="98"/>
      <c r="S137" s="103" t="s">
        <v>266</v>
      </c>
      <c r="T137" s="90">
        <f t="shared" si="29"/>
        <v>285.01421666665965</v>
      </c>
      <c r="U137" s="91">
        <f t="shared" si="31"/>
        <v>25.910383333333336</v>
      </c>
      <c r="V137" s="92">
        <f t="shared" si="25"/>
        <v>4.7502369444443273</v>
      </c>
      <c r="W137" s="90">
        <f t="shared" si="26"/>
        <v>30.660620277777664</v>
      </c>
    </row>
    <row r="138" spans="2:24" x14ac:dyDescent="0.25">
      <c r="C138" s="103" t="s">
        <v>267</v>
      </c>
      <c r="D138" s="90">
        <f t="shared" si="27"/>
        <v>259.10383333333084</v>
      </c>
      <c r="E138" s="91">
        <f t="shared" si="28"/>
        <v>25.910383333333336</v>
      </c>
      <c r="F138" s="92">
        <f t="shared" si="32"/>
        <v>4.3183972222221811</v>
      </c>
      <c r="G138" s="90">
        <f t="shared" si="33"/>
        <v>30.228780555555517</v>
      </c>
      <c r="K138" s="106"/>
      <c r="S138" s="103" t="s">
        <v>267</v>
      </c>
      <c r="T138" s="90">
        <f t="shared" si="29"/>
        <v>259.10383333332629</v>
      </c>
      <c r="U138" s="91">
        <f t="shared" si="31"/>
        <v>25.910383333333336</v>
      </c>
      <c r="V138" s="92">
        <f t="shared" si="25"/>
        <v>4.3183972222221056</v>
      </c>
      <c r="W138" s="90">
        <f t="shared" si="26"/>
        <v>30.228780555555442</v>
      </c>
    </row>
    <row r="139" spans="2:24" x14ac:dyDescent="0.25">
      <c r="C139" s="103" t="s">
        <v>268</v>
      </c>
      <c r="D139" s="90">
        <f t="shared" si="27"/>
        <v>233.19344999999751</v>
      </c>
      <c r="E139" s="91">
        <f t="shared" si="28"/>
        <v>25.910383333333336</v>
      </c>
      <c r="F139" s="92">
        <f t="shared" si="32"/>
        <v>3.886557499999959</v>
      </c>
      <c r="G139" s="90">
        <f t="shared" si="33"/>
        <v>29.796940833333295</v>
      </c>
      <c r="K139" s="106"/>
      <c r="S139" s="103" t="s">
        <v>268</v>
      </c>
      <c r="T139" s="90">
        <f t="shared" si="29"/>
        <v>233.19344999999296</v>
      </c>
      <c r="U139" s="91">
        <f t="shared" si="31"/>
        <v>25.910383333333336</v>
      </c>
      <c r="V139" s="92">
        <f t="shared" si="25"/>
        <v>3.8865574999998831</v>
      </c>
      <c r="W139" s="90">
        <f t="shared" si="26"/>
        <v>29.796940833333217</v>
      </c>
    </row>
    <row r="140" spans="2:24" x14ac:dyDescent="0.25">
      <c r="C140" s="103" t="s">
        <v>269</v>
      </c>
      <c r="D140" s="90">
        <f t="shared" si="27"/>
        <v>207.28306666666418</v>
      </c>
      <c r="E140" s="91">
        <f t="shared" si="28"/>
        <v>25.910383333333336</v>
      </c>
      <c r="F140" s="92">
        <f t="shared" si="32"/>
        <v>3.4547177777777365</v>
      </c>
      <c r="G140" s="90">
        <f t="shared" si="33"/>
        <v>29.365101111111073</v>
      </c>
      <c r="K140" s="106"/>
      <c r="S140" s="103" t="s">
        <v>269</v>
      </c>
      <c r="T140" s="90">
        <f t="shared" si="29"/>
        <v>207.28306666665964</v>
      </c>
      <c r="U140" s="91">
        <f t="shared" si="31"/>
        <v>25.910383333333336</v>
      </c>
      <c r="V140" s="92">
        <f t="shared" si="25"/>
        <v>3.454717777777661</v>
      </c>
      <c r="W140" s="90">
        <f t="shared" si="26"/>
        <v>29.365101111110995</v>
      </c>
    </row>
    <row r="141" spans="2:24" x14ac:dyDescent="0.25">
      <c r="C141" s="103" t="s">
        <v>270</v>
      </c>
      <c r="D141" s="90">
        <f t="shared" si="27"/>
        <v>181.37268333333085</v>
      </c>
      <c r="E141" s="91">
        <f t="shared" si="28"/>
        <v>25.910383333333336</v>
      </c>
      <c r="F141" s="92">
        <f t="shared" si="32"/>
        <v>3.0228780555555144</v>
      </c>
      <c r="G141" s="90">
        <f t="shared" si="33"/>
        <v>28.933261388888852</v>
      </c>
      <c r="K141" s="106"/>
      <c r="S141" s="103" t="s">
        <v>270</v>
      </c>
      <c r="T141" s="90">
        <f t="shared" si="29"/>
        <v>181.37268333332631</v>
      </c>
      <c r="U141" s="91">
        <f t="shared" si="31"/>
        <v>25.910383333333336</v>
      </c>
      <c r="V141" s="92">
        <f t="shared" si="25"/>
        <v>3.0228780555554384</v>
      </c>
      <c r="W141" s="90">
        <f t="shared" si="26"/>
        <v>28.933261388888774</v>
      </c>
    </row>
    <row r="142" spans="2:24" x14ac:dyDescent="0.25">
      <c r="C142" s="103" t="s">
        <v>271</v>
      </c>
      <c r="D142" s="90">
        <f t="shared" si="27"/>
        <v>155.46229999999753</v>
      </c>
      <c r="E142" s="91">
        <f t="shared" si="28"/>
        <v>25.910383333333336</v>
      </c>
      <c r="F142" s="92">
        <f t="shared" si="32"/>
        <v>2.5910383333332923</v>
      </c>
      <c r="G142" s="90">
        <f t="shared" si="33"/>
        <v>28.501421666666626</v>
      </c>
      <c r="K142" s="106"/>
      <c r="S142" s="103" t="s">
        <v>271</v>
      </c>
      <c r="T142" s="90">
        <f t="shared" si="29"/>
        <v>155.46229999999298</v>
      </c>
      <c r="U142" s="91">
        <f t="shared" si="31"/>
        <v>25.910383333333336</v>
      </c>
      <c r="V142" s="92">
        <f t="shared" si="25"/>
        <v>2.5910383333332163</v>
      </c>
      <c r="W142" s="90">
        <f t="shared" si="26"/>
        <v>28.501421666666552</v>
      </c>
    </row>
    <row r="143" spans="2:24" x14ac:dyDescent="0.25">
      <c r="C143" s="103" t="s">
        <v>272</v>
      </c>
      <c r="D143" s="90">
        <f t="shared" si="27"/>
        <v>129.5519166666642</v>
      </c>
      <c r="E143" s="91">
        <f t="shared" si="28"/>
        <v>25.910383333333336</v>
      </c>
      <c r="F143" s="92">
        <f t="shared" si="32"/>
        <v>2.1591986111110701</v>
      </c>
      <c r="G143" s="90">
        <f t="shared" si="33"/>
        <v>28.069581944444405</v>
      </c>
      <c r="K143" s="106"/>
      <c r="S143" s="103" t="s">
        <v>272</v>
      </c>
      <c r="T143" s="90">
        <f t="shared" si="29"/>
        <v>129.55191666665965</v>
      </c>
      <c r="U143" s="91">
        <f t="shared" si="31"/>
        <v>25.910383333333336</v>
      </c>
      <c r="V143" s="92">
        <f t="shared" si="25"/>
        <v>2.1591986111109942</v>
      </c>
      <c r="W143" s="90">
        <f t="shared" si="26"/>
        <v>28.06958194444433</v>
      </c>
    </row>
    <row r="144" spans="2:24" x14ac:dyDescent="0.25">
      <c r="C144" s="103" t="s">
        <v>273</v>
      </c>
      <c r="D144" s="90">
        <f t="shared" si="27"/>
        <v>103.64153333333087</v>
      </c>
      <c r="E144" s="91">
        <f t="shared" si="28"/>
        <v>25.910383333333336</v>
      </c>
      <c r="F144" s="92">
        <f t="shared" si="32"/>
        <v>1.7273588888888478</v>
      </c>
      <c r="G144" s="90">
        <f t="shared" si="33"/>
        <v>27.637742222222183</v>
      </c>
      <c r="K144" s="106"/>
      <c r="S144" s="103" t="s">
        <v>273</v>
      </c>
      <c r="T144" s="90">
        <f t="shared" si="29"/>
        <v>103.64153333332632</v>
      </c>
      <c r="U144" s="91">
        <f t="shared" si="31"/>
        <v>25.910383333333336</v>
      </c>
      <c r="V144" s="92">
        <f t="shared" si="25"/>
        <v>1.7273588888887721</v>
      </c>
      <c r="W144" s="90">
        <f t="shared" si="26"/>
        <v>27.637742222222109</v>
      </c>
    </row>
    <row r="145" spans="3:24" x14ac:dyDescent="0.25">
      <c r="C145" s="103" t="s">
        <v>274</v>
      </c>
      <c r="D145" s="90">
        <f t="shared" si="27"/>
        <v>77.731149999997541</v>
      </c>
      <c r="E145" s="91">
        <f t="shared" si="28"/>
        <v>25.910383333333336</v>
      </c>
      <c r="F145" s="92">
        <f t="shared" si="32"/>
        <v>1.2955191666666257</v>
      </c>
      <c r="G145" s="90">
        <f t="shared" si="33"/>
        <v>27.205902499999961</v>
      </c>
      <c r="K145" s="106"/>
      <c r="S145" s="103" t="s">
        <v>274</v>
      </c>
      <c r="T145" s="90">
        <f t="shared" si="29"/>
        <v>77.731149999992994</v>
      </c>
      <c r="U145" s="91">
        <f t="shared" si="31"/>
        <v>25.910383333333336</v>
      </c>
      <c r="V145" s="92">
        <f t="shared" si="25"/>
        <v>1.29551916666655</v>
      </c>
      <c r="W145" s="90">
        <f t="shared" si="26"/>
        <v>27.205902499999887</v>
      </c>
    </row>
    <row r="146" spans="3:24" x14ac:dyDescent="0.25">
      <c r="C146" s="103" t="s">
        <v>275</v>
      </c>
      <c r="D146" s="90">
        <f t="shared" si="27"/>
        <v>51.820766666664206</v>
      </c>
      <c r="E146" s="91">
        <f t="shared" si="28"/>
        <v>25.910383333333336</v>
      </c>
      <c r="F146" s="92">
        <f t="shared" si="32"/>
        <v>0.86367944444440348</v>
      </c>
      <c r="G146" s="90">
        <f t="shared" si="33"/>
        <v>26.77406277777774</v>
      </c>
      <c r="K146" s="106"/>
      <c r="M146" s="108">
        <f>L136+E148</f>
        <v>10871.002469999989</v>
      </c>
      <c r="N146" s="108">
        <f>M136+F148</f>
        <v>10961.594157250021</v>
      </c>
      <c r="O146" s="108">
        <f>N136+G148</f>
        <v>21832.596627250019</v>
      </c>
      <c r="S146" s="103" t="s">
        <v>275</v>
      </c>
      <c r="T146" s="90">
        <f t="shared" si="29"/>
        <v>51.820766666659658</v>
      </c>
      <c r="U146" s="91">
        <f t="shared" si="31"/>
        <v>25.910383333333336</v>
      </c>
      <c r="V146" s="92">
        <f t="shared" si="25"/>
        <v>0.86367944444432776</v>
      </c>
      <c r="W146" s="90">
        <f t="shared" si="26"/>
        <v>26.774062777777662</v>
      </c>
      <c r="X146" s="108">
        <f>SUM(V136:V147)</f>
        <v>33.68349833333194</v>
      </c>
    </row>
    <row r="147" spans="3:24" x14ac:dyDescent="0.25">
      <c r="C147" s="103" t="s">
        <v>276</v>
      </c>
      <c r="D147" s="90">
        <f t="shared" si="27"/>
        <v>25.91038333333087</v>
      </c>
      <c r="E147" s="91">
        <f t="shared" si="28"/>
        <v>25.910383333333336</v>
      </c>
      <c r="F147" s="92">
        <f t="shared" si="32"/>
        <v>0.4318397222221812</v>
      </c>
      <c r="G147" s="90">
        <f t="shared" si="33"/>
        <v>26.342223055555518</v>
      </c>
      <c r="H147" s="94">
        <f>SUM(F136:F147)</f>
        <v>33.683498333332835</v>
      </c>
      <c r="S147" s="103" t="s">
        <v>276</v>
      </c>
      <c r="T147" s="90">
        <f t="shared" si="29"/>
        <v>25.910383333326322</v>
      </c>
      <c r="U147" s="91">
        <f t="shared" si="31"/>
        <v>25.910383333333336</v>
      </c>
      <c r="V147" s="92">
        <f t="shared" si="25"/>
        <v>0.43183972222210537</v>
      </c>
      <c r="W147" s="90">
        <f t="shared" si="26"/>
        <v>26.34222305555544</v>
      </c>
    </row>
    <row r="148" spans="3:24" x14ac:dyDescent="0.25">
      <c r="C148" s="107" t="s">
        <v>0</v>
      </c>
      <c r="E148" s="108">
        <f>SUM(E4:E147)</f>
        <v>3109.2460000000024</v>
      </c>
      <c r="F148" s="108">
        <f>SUM(F4:F147)</f>
        <v>3135.1563833333307</v>
      </c>
      <c r="G148" s="108">
        <f>SUM(G4:G147)</f>
        <v>6244.4023833333304</v>
      </c>
      <c r="H148" s="108">
        <f>SUM(H4:H147)</f>
        <v>3135.1563833333312</v>
      </c>
      <c r="S148" s="107" t="s">
        <v>0</v>
      </c>
      <c r="U148" s="108">
        <f>SUM(U4:U147)</f>
        <v>10871.002470000027</v>
      </c>
      <c r="V148" s="108">
        <f>SUM(V4:V147)</f>
        <v>10961.594157249996</v>
      </c>
      <c r="W148" s="108">
        <f>SUM(W4:W147)</f>
        <v>21832.596627250005</v>
      </c>
      <c r="X148" s="108">
        <f>SUM(X4:X147)</f>
        <v>10961.594157249998</v>
      </c>
    </row>
    <row r="149" spans="3:24" s="109" customFormat="1" x14ac:dyDescent="0.25">
      <c r="C149" s="110"/>
      <c r="E149" s="111"/>
      <c r="F149" s="111"/>
      <c r="G149" s="111"/>
      <c r="H149" s="111"/>
      <c r="S149" s="110"/>
      <c r="U149" s="111"/>
      <c r="V149" s="111"/>
      <c r="W149" s="111"/>
    </row>
    <row r="150" spans="3:24" s="109" customFormat="1" x14ac:dyDescent="0.25">
      <c r="C150" s="110"/>
      <c r="E150" s="111"/>
      <c r="F150" s="111"/>
      <c r="G150" s="111"/>
      <c r="H150" s="111"/>
      <c r="S150" s="110"/>
      <c r="U150" s="111"/>
      <c r="V150" s="111"/>
      <c r="W150" s="111"/>
    </row>
    <row r="151" spans="3:24" x14ac:dyDescent="0.25">
      <c r="D151" s="106"/>
      <c r="K151" s="106"/>
      <c r="T151" s="106"/>
    </row>
    <row r="152" spans="3:24" x14ac:dyDescent="0.25">
      <c r="D152" s="106"/>
      <c r="K152" s="106"/>
      <c r="T152" s="106"/>
    </row>
    <row r="153" spans="3:24" x14ac:dyDescent="0.25">
      <c r="D153" s="106"/>
      <c r="K153" s="106"/>
      <c r="T153" s="106"/>
    </row>
    <row r="154" spans="3:24" x14ac:dyDescent="0.25">
      <c r="D154" s="106"/>
      <c r="K154" s="106"/>
      <c r="T154" s="106"/>
    </row>
    <row r="155" spans="3:24" x14ac:dyDescent="0.25">
      <c r="D155" s="106"/>
      <c r="K155" s="106"/>
      <c r="T155" s="106"/>
    </row>
    <row r="156" spans="3:24" x14ac:dyDescent="0.25">
      <c r="D156" s="106"/>
      <c r="K156" s="106"/>
      <c r="T156" s="106"/>
    </row>
    <row r="157" spans="3:24" x14ac:dyDescent="0.25">
      <c r="D157" s="106"/>
      <c r="K157" s="106"/>
      <c r="T157" s="106"/>
    </row>
    <row r="158" spans="3:24" x14ac:dyDescent="0.25">
      <c r="D158" s="106"/>
      <c r="K158" s="106"/>
      <c r="T158" s="106"/>
    </row>
    <row r="159" spans="3:24" x14ac:dyDescent="0.25">
      <c r="D159" s="106"/>
      <c r="K159" s="106"/>
      <c r="T159" s="106"/>
    </row>
    <row r="160" spans="3:24" x14ac:dyDescent="0.25">
      <c r="D160" s="106"/>
      <c r="K160" s="106"/>
      <c r="T160" s="106"/>
    </row>
    <row r="161" spans="4:20" x14ac:dyDescent="0.25">
      <c r="D161" s="106"/>
      <c r="K161" s="106"/>
      <c r="T161" s="106"/>
    </row>
    <row r="162" spans="4:20" x14ac:dyDescent="0.25">
      <c r="D162" s="106"/>
      <c r="K162" s="106"/>
      <c r="T162" s="106"/>
    </row>
    <row r="163" spans="4:20" x14ac:dyDescent="0.25">
      <c r="D163" s="106"/>
      <c r="K163" s="106"/>
      <c r="T163" s="106"/>
    </row>
    <row r="164" spans="4:20" x14ac:dyDescent="0.25">
      <c r="D164" s="106"/>
      <c r="K164" s="106"/>
      <c r="T164" s="106"/>
    </row>
    <row r="165" spans="4:20" x14ac:dyDescent="0.25">
      <c r="D165" s="106"/>
      <c r="K165" s="106"/>
      <c r="T165" s="106"/>
    </row>
    <row r="166" spans="4:20" x14ac:dyDescent="0.25">
      <c r="D166" s="106"/>
      <c r="K166" s="106"/>
      <c r="T166" s="106"/>
    </row>
    <row r="167" spans="4:20" x14ac:dyDescent="0.25">
      <c r="D167" s="106"/>
      <c r="K167" s="106"/>
      <c r="T167" s="106"/>
    </row>
    <row r="168" spans="4:20" x14ac:dyDescent="0.25">
      <c r="D168" s="106"/>
      <c r="K168" s="106"/>
      <c r="T168" s="106"/>
    </row>
    <row r="169" spans="4:20" x14ac:dyDescent="0.25">
      <c r="D169" s="106"/>
      <c r="K169" s="106"/>
      <c r="T169" s="106"/>
    </row>
    <row r="170" spans="4:20" x14ac:dyDescent="0.25">
      <c r="D170" s="106"/>
      <c r="K170" s="106"/>
      <c r="T170" s="106"/>
    </row>
    <row r="171" spans="4:20" x14ac:dyDescent="0.25">
      <c r="D171" s="106"/>
      <c r="K171" s="106"/>
      <c r="T171" s="106"/>
    </row>
    <row r="172" spans="4:20" x14ac:dyDescent="0.25">
      <c r="D172" s="106"/>
      <c r="K172" s="106"/>
      <c r="T172" s="106"/>
    </row>
    <row r="173" spans="4:20" x14ac:dyDescent="0.25">
      <c r="D173" s="106"/>
      <c r="K173" s="106"/>
      <c r="T173" s="106"/>
    </row>
    <row r="174" spans="4:20" x14ac:dyDescent="0.25">
      <c r="D174" s="106"/>
      <c r="K174" s="106"/>
      <c r="T174" s="106"/>
    </row>
    <row r="175" spans="4:20" x14ac:dyDescent="0.25">
      <c r="D175" s="106"/>
      <c r="K175" s="106"/>
      <c r="T175" s="106"/>
    </row>
    <row r="176" spans="4:20" x14ac:dyDescent="0.25">
      <c r="D176" s="106"/>
      <c r="K176" s="106"/>
      <c r="T176" s="106"/>
    </row>
    <row r="177" spans="4:20" x14ac:dyDescent="0.25">
      <c r="D177" s="106"/>
      <c r="K177" s="106"/>
      <c r="T177" s="106"/>
    </row>
    <row r="178" spans="4:20" x14ac:dyDescent="0.25">
      <c r="D178" s="106"/>
      <c r="K178" s="106"/>
      <c r="T178" s="106"/>
    </row>
    <row r="179" spans="4:20" x14ac:dyDescent="0.25">
      <c r="D179" s="106"/>
      <c r="K179" s="106"/>
      <c r="T179" s="106"/>
    </row>
    <row r="180" spans="4:20" x14ac:dyDescent="0.25">
      <c r="D180" s="106"/>
      <c r="K180" s="106"/>
      <c r="T180" s="106"/>
    </row>
    <row r="181" spans="4:20" x14ac:dyDescent="0.25">
      <c r="D181" s="106"/>
      <c r="K181" s="106"/>
      <c r="T181" s="106"/>
    </row>
    <row r="182" spans="4:20" x14ac:dyDescent="0.25">
      <c r="D182" s="106"/>
      <c r="K182" s="106"/>
      <c r="T182" s="106"/>
    </row>
    <row r="183" spans="4:20" x14ac:dyDescent="0.25">
      <c r="D183" s="106"/>
      <c r="K183" s="106"/>
      <c r="T183" s="106"/>
    </row>
    <row r="184" spans="4:20" x14ac:dyDescent="0.25">
      <c r="D184" s="106"/>
      <c r="K184" s="106"/>
      <c r="T184" s="106"/>
    </row>
    <row r="185" spans="4:20" x14ac:dyDescent="0.25">
      <c r="D185" s="106"/>
      <c r="K185" s="106"/>
      <c r="T185" s="106"/>
    </row>
    <row r="186" spans="4:20" x14ac:dyDescent="0.25">
      <c r="D186" s="106"/>
      <c r="K186" s="106"/>
      <c r="T186" s="106"/>
    </row>
    <row r="187" spans="4:20" x14ac:dyDescent="0.25">
      <c r="D187" s="106"/>
      <c r="K187" s="106"/>
      <c r="T187" s="106"/>
    </row>
    <row r="188" spans="4:20" x14ac:dyDescent="0.25">
      <c r="D188" s="106"/>
      <c r="K188" s="106"/>
      <c r="T188" s="106"/>
    </row>
    <row r="189" spans="4:20" x14ac:dyDescent="0.25">
      <c r="D189" s="106"/>
      <c r="K189" s="106"/>
      <c r="T189" s="106"/>
    </row>
    <row r="190" spans="4:20" x14ac:dyDescent="0.25">
      <c r="D190" s="106"/>
      <c r="K190" s="106"/>
      <c r="T190" s="106"/>
    </row>
    <row r="191" spans="4:20" x14ac:dyDescent="0.25">
      <c r="D191" s="106"/>
      <c r="K191" s="106"/>
      <c r="T191" s="106"/>
    </row>
    <row r="192" spans="4:20" x14ac:dyDescent="0.25">
      <c r="D192" s="106"/>
      <c r="K192" s="106"/>
      <c r="T192" s="106"/>
    </row>
    <row r="193" spans="4:20" x14ac:dyDescent="0.25">
      <c r="D193" s="106"/>
      <c r="K193" s="106"/>
      <c r="T193" s="106"/>
    </row>
    <row r="194" spans="4:20" x14ac:dyDescent="0.25">
      <c r="D194" s="106"/>
      <c r="K194" s="106"/>
      <c r="T194" s="106"/>
    </row>
    <row r="195" spans="4:20" x14ac:dyDescent="0.25">
      <c r="D195" s="106"/>
      <c r="K195" s="106"/>
      <c r="T195" s="106"/>
    </row>
    <row r="196" spans="4:20" x14ac:dyDescent="0.25">
      <c r="D196" s="106"/>
      <c r="K196" s="106"/>
      <c r="T196" s="106"/>
    </row>
    <row r="197" spans="4:20" x14ac:dyDescent="0.25">
      <c r="D197" s="106"/>
      <c r="K197" s="106"/>
      <c r="T197" s="106"/>
    </row>
    <row r="198" spans="4:20" x14ac:dyDescent="0.25">
      <c r="D198" s="106"/>
      <c r="K198" s="106"/>
      <c r="T198" s="106"/>
    </row>
    <row r="199" spans="4:20" x14ac:dyDescent="0.25">
      <c r="D199" s="106"/>
      <c r="K199" s="106"/>
      <c r="T199" s="106"/>
    </row>
    <row r="200" spans="4:20" x14ac:dyDescent="0.25">
      <c r="D200" s="106"/>
      <c r="K200" s="106"/>
      <c r="T200" s="106"/>
    </row>
    <row r="201" spans="4:20" x14ac:dyDescent="0.25">
      <c r="D201" s="106"/>
      <c r="K201" s="106"/>
      <c r="T201" s="106"/>
    </row>
    <row r="202" spans="4:20" x14ac:dyDescent="0.25">
      <c r="D202" s="106"/>
      <c r="K202" s="106"/>
      <c r="T202" s="106"/>
    </row>
    <row r="203" spans="4:20" x14ac:dyDescent="0.25">
      <c r="D203" s="106"/>
      <c r="K203" s="106"/>
      <c r="T203" s="106"/>
    </row>
    <row r="204" spans="4:20" x14ac:dyDescent="0.25">
      <c r="D204" s="106"/>
      <c r="K204" s="106"/>
      <c r="T204" s="106"/>
    </row>
    <row r="205" spans="4:20" x14ac:dyDescent="0.25">
      <c r="D205" s="106"/>
      <c r="K205" s="106"/>
      <c r="T205" s="106"/>
    </row>
    <row r="206" spans="4:20" x14ac:dyDescent="0.25">
      <c r="D206" s="106"/>
      <c r="K206" s="106"/>
      <c r="T206" s="106"/>
    </row>
    <row r="207" spans="4:20" x14ac:dyDescent="0.25">
      <c r="D207" s="106"/>
      <c r="K207" s="106"/>
      <c r="T207" s="106"/>
    </row>
    <row r="208" spans="4:20" x14ac:dyDescent="0.25">
      <c r="D208" s="106"/>
      <c r="K208" s="106"/>
      <c r="T208" s="106"/>
    </row>
    <row r="209" spans="4:20" x14ac:dyDescent="0.25">
      <c r="D209" s="106"/>
      <c r="K209" s="106"/>
      <c r="T209" s="106"/>
    </row>
    <row r="210" spans="4:20" x14ac:dyDescent="0.25">
      <c r="D210" s="106"/>
      <c r="K210" s="106"/>
      <c r="T210" s="106"/>
    </row>
    <row r="211" spans="4:20" x14ac:dyDescent="0.25">
      <c r="D211" s="106"/>
      <c r="K211" s="106"/>
      <c r="T211" s="106"/>
    </row>
    <row r="212" spans="4:20" x14ac:dyDescent="0.25">
      <c r="D212" s="106"/>
      <c r="K212" s="106"/>
      <c r="T212" s="106"/>
    </row>
    <row r="213" spans="4:20" x14ac:dyDescent="0.25">
      <c r="D213" s="106"/>
      <c r="K213" s="106"/>
      <c r="T213" s="106"/>
    </row>
    <row r="214" spans="4:20" x14ac:dyDescent="0.25">
      <c r="D214" s="106"/>
      <c r="K214" s="106"/>
      <c r="T214" s="106"/>
    </row>
    <row r="215" spans="4:20" x14ac:dyDescent="0.25">
      <c r="D215" s="106"/>
      <c r="K215" s="106"/>
      <c r="T215" s="106"/>
    </row>
    <row r="216" spans="4:20" x14ac:dyDescent="0.25">
      <c r="D216" s="106"/>
      <c r="K216" s="106"/>
      <c r="T216" s="106"/>
    </row>
    <row r="217" spans="4:20" x14ac:dyDescent="0.25">
      <c r="D217" s="106"/>
      <c r="K217" s="106"/>
      <c r="T217" s="106"/>
    </row>
    <row r="218" spans="4:20" x14ac:dyDescent="0.25">
      <c r="D218" s="106"/>
      <c r="K218" s="106"/>
      <c r="T218" s="106"/>
    </row>
    <row r="219" spans="4:20" x14ac:dyDescent="0.25">
      <c r="D219" s="106"/>
      <c r="K219" s="106"/>
      <c r="T219" s="106"/>
    </row>
    <row r="220" spans="4:20" x14ac:dyDescent="0.25">
      <c r="D220" s="106"/>
      <c r="K220" s="106"/>
      <c r="T220" s="106"/>
    </row>
    <row r="221" spans="4:20" x14ac:dyDescent="0.25">
      <c r="D221" s="106"/>
      <c r="K221" s="106"/>
      <c r="T221" s="106"/>
    </row>
    <row r="222" spans="4:20" x14ac:dyDescent="0.25">
      <c r="D222" s="106"/>
      <c r="K222" s="106"/>
      <c r="T222" s="106"/>
    </row>
    <row r="223" spans="4:20" x14ac:dyDescent="0.25">
      <c r="D223" s="106"/>
      <c r="K223" s="106"/>
      <c r="T223" s="106"/>
    </row>
    <row r="224" spans="4:20" x14ac:dyDescent="0.25">
      <c r="D224" s="106"/>
      <c r="K224" s="106"/>
      <c r="T224" s="106"/>
    </row>
    <row r="225" spans="4:20" x14ac:dyDescent="0.25">
      <c r="D225" s="106"/>
      <c r="K225" s="106"/>
      <c r="T225" s="106"/>
    </row>
    <row r="226" spans="4:20" x14ac:dyDescent="0.25">
      <c r="D226" s="106"/>
      <c r="K226" s="106"/>
      <c r="T226" s="106"/>
    </row>
    <row r="227" spans="4:20" x14ac:dyDescent="0.25">
      <c r="D227" s="106"/>
      <c r="K227" s="106"/>
      <c r="T227" s="106"/>
    </row>
    <row r="228" spans="4:20" x14ac:dyDescent="0.25">
      <c r="D228" s="106"/>
      <c r="K228" s="106"/>
      <c r="T228" s="106"/>
    </row>
    <row r="229" spans="4:20" x14ac:dyDescent="0.25">
      <c r="D229" s="106"/>
      <c r="K229" s="106"/>
      <c r="T229" s="106"/>
    </row>
    <row r="230" spans="4:20" x14ac:dyDescent="0.25">
      <c r="D230" s="106"/>
      <c r="K230" s="106"/>
      <c r="T230" s="106"/>
    </row>
    <row r="231" spans="4:20" x14ac:dyDescent="0.25">
      <c r="D231" s="106"/>
      <c r="K231" s="106"/>
      <c r="T231" s="106"/>
    </row>
    <row r="232" spans="4:20" x14ac:dyDescent="0.25">
      <c r="D232" s="106"/>
      <c r="K232" s="106"/>
      <c r="T232" s="106"/>
    </row>
    <row r="233" spans="4:20" x14ac:dyDescent="0.25">
      <c r="D233" s="106"/>
      <c r="K233" s="106"/>
      <c r="T233" s="106"/>
    </row>
    <row r="234" spans="4:20" x14ac:dyDescent="0.25">
      <c r="D234" s="106"/>
      <c r="K234" s="106"/>
      <c r="T234" s="106"/>
    </row>
    <row r="235" spans="4:20" x14ac:dyDescent="0.25">
      <c r="D235" s="106"/>
      <c r="K235" s="106"/>
      <c r="T235" s="106"/>
    </row>
    <row r="236" spans="4:20" x14ac:dyDescent="0.25">
      <c r="D236" s="106"/>
      <c r="K236" s="106"/>
      <c r="T236" s="106"/>
    </row>
    <row r="237" spans="4:20" x14ac:dyDescent="0.25">
      <c r="D237" s="106"/>
      <c r="K237" s="106"/>
      <c r="T237" s="106"/>
    </row>
    <row r="238" spans="4:20" x14ac:dyDescent="0.25">
      <c r="D238" s="106"/>
      <c r="K238" s="106"/>
      <c r="T238" s="106"/>
    </row>
    <row r="239" spans="4:20" x14ac:dyDescent="0.25">
      <c r="D239" s="106"/>
      <c r="K239" s="106"/>
      <c r="T239" s="106"/>
    </row>
    <row r="240" spans="4:20" x14ac:dyDescent="0.25">
      <c r="D240" s="106"/>
      <c r="K240" s="106"/>
      <c r="T240" s="106"/>
    </row>
    <row r="241" spans="4:20" x14ac:dyDescent="0.25">
      <c r="D241" s="106"/>
      <c r="K241" s="106"/>
      <c r="T241" s="106"/>
    </row>
    <row r="242" spans="4:20" x14ac:dyDescent="0.25">
      <c r="D242" s="106"/>
      <c r="K242" s="106"/>
      <c r="T242" s="106"/>
    </row>
    <row r="243" spans="4:20" x14ac:dyDescent="0.25">
      <c r="D243" s="106"/>
      <c r="K243" s="106"/>
      <c r="T243" s="106"/>
    </row>
    <row r="244" spans="4:20" x14ac:dyDescent="0.25">
      <c r="D244" s="106"/>
      <c r="K244" s="106"/>
      <c r="T244" s="106"/>
    </row>
    <row r="245" spans="4:20" x14ac:dyDescent="0.25">
      <c r="D245" s="106"/>
      <c r="K245" s="106"/>
      <c r="T245" s="106"/>
    </row>
    <row r="246" spans="4:20" x14ac:dyDescent="0.25">
      <c r="D246" s="106"/>
      <c r="K246" s="106"/>
      <c r="T246" s="106"/>
    </row>
    <row r="247" spans="4:20" x14ac:dyDescent="0.25">
      <c r="D247" s="106"/>
      <c r="K247" s="106"/>
      <c r="T247" s="106"/>
    </row>
    <row r="248" spans="4:20" x14ac:dyDescent="0.25">
      <c r="D248" s="106"/>
      <c r="K248" s="106"/>
      <c r="T248" s="106"/>
    </row>
    <row r="249" spans="4:20" x14ac:dyDescent="0.25">
      <c r="D249" s="106"/>
      <c r="K249" s="106"/>
      <c r="T249" s="106"/>
    </row>
    <row r="250" spans="4:20" x14ac:dyDescent="0.25">
      <c r="D250" s="106"/>
      <c r="K250" s="106"/>
      <c r="T250" s="106"/>
    </row>
    <row r="251" spans="4:20" x14ac:dyDescent="0.25">
      <c r="D251" s="106"/>
      <c r="K251" s="106"/>
      <c r="T251" s="106"/>
    </row>
    <row r="252" spans="4:20" x14ac:dyDescent="0.25">
      <c r="D252" s="106"/>
      <c r="K252" s="106"/>
      <c r="T252" s="106"/>
    </row>
    <row r="253" spans="4:20" x14ac:dyDescent="0.25">
      <c r="D253" s="106"/>
      <c r="K253" s="106"/>
      <c r="T253" s="106"/>
    </row>
    <row r="254" spans="4:20" x14ac:dyDescent="0.25">
      <c r="D254" s="106"/>
      <c r="K254" s="106"/>
      <c r="T254" s="106"/>
    </row>
    <row r="255" spans="4:20" x14ac:dyDescent="0.25">
      <c r="D255" s="106"/>
      <c r="K255" s="106"/>
      <c r="T255" s="106"/>
    </row>
    <row r="256" spans="4:20" x14ac:dyDescent="0.25">
      <c r="D256" s="106"/>
      <c r="K256" s="106"/>
      <c r="T256" s="106"/>
    </row>
    <row r="257" spans="4:20" x14ac:dyDescent="0.25">
      <c r="D257" s="106"/>
      <c r="K257" s="106"/>
      <c r="T257" s="106"/>
    </row>
    <row r="258" spans="4:20" x14ac:dyDescent="0.25">
      <c r="D258" s="106"/>
      <c r="K258" s="106"/>
      <c r="T258" s="106"/>
    </row>
    <row r="259" spans="4:20" x14ac:dyDescent="0.25">
      <c r="D259" s="106"/>
      <c r="K259" s="106"/>
      <c r="T259" s="106"/>
    </row>
    <row r="260" spans="4:20" x14ac:dyDescent="0.25">
      <c r="D260" s="106"/>
      <c r="K260" s="106"/>
      <c r="T260" s="106"/>
    </row>
    <row r="261" spans="4:20" x14ac:dyDescent="0.25">
      <c r="D261" s="106"/>
      <c r="K261" s="106"/>
      <c r="T261" s="106"/>
    </row>
    <row r="262" spans="4:20" x14ac:dyDescent="0.25">
      <c r="D262" s="106"/>
      <c r="K262" s="106"/>
      <c r="T262" s="106"/>
    </row>
    <row r="263" spans="4:20" x14ac:dyDescent="0.25">
      <c r="D263" s="106"/>
      <c r="K263" s="106"/>
      <c r="T263" s="106"/>
    </row>
    <row r="264" spans="4:20" x14ac:dyDescent="0.25">
      <c r="D264" s="106"/>
      <c r="K264" s="106"/>
      <c r="T264" s="106"/>
    </row>
    <row r="265" spans="4:20" x14ac:dyDescent="0.25">
      <c r="D265" s="106"/>
      <c r="K265" s="106"/>
      <c r="T265" s="106"/>
    </row>
    <row r="266" spans="4:20" x14ac:dyDescent="0.25">
      <c r="D266" s="106"/>
      <c r="K266" s="106"/>
      <c r="T266" s="106"/>
    </row>
    <row r="267" spans="4:20" x14ac:dyDescent="0.25">
      <c r="D267" s="106"/>
      <c r="K267" s="106"/>
      <c r="T267" s="106"/>
    </row>
    <row r="268" spans="4:20" x14ac:dyDescent="0.25">
      <c r="D268" s="106"/>
      <c r="K268" s="106"/>
      <c r="T268" s="106"/>
    </row>
    <row r="269" spans="4:20" x14ac:dyDescent="0.25">
      <c r="D269" s="106"/>
      <c r="K269" s="106"/>
      <c r="T269" s="106"/>
    </row>
    <row r="270" spans="4:20" x14ac:dyDescent="0.25">
      <c r="D270" s="106"/>
      <c r="K270" s="106"/>
      <c r="T270" s="106"/>
    </row>
    <row r="271" spans="4:20" x14ac:dyDescent="0.25">
      <c r="D271" s="106"/>
      <c r="K271" s="106"/>
      <c r="T271" s="106"/>
    </row>
    <row r="272" spans="4:20" x14ac:dyDescent="0.25">
      <c r="D272" s="106"/>
      <c r="K272" s="106"/>
      <c r="T272" s="106"/>
    </row>
    <row r="273" spans="4:20" x14ac:dyDescent="0.25">
      <c r="D273" s="106"/>
      <c r="K273" s="106"/>
      <c r="T273" s="106"/>
    </row>
    <row r="274" spans="4:20" x14ac:dyDescent="0.25">
      <c r="D274" s="106"/>
      <c r="K274" s="106"/>
      <c r="T274" s="106"/>
    </row>
    <row r="275" spans="4:20" x14ac:dyDescent="0.25">
      <c r="D275" s="106"/>
      <c r="K275" s="106"/>
      <c r="T275" s="106"/>
    </row>
    <row r="276" spans="4:20" x14ac:dyDescent="0.25">
      <c r="D276" s="106"/>
      <c r="K276" s="106"/>
      <c r="T276" s="106"/>
    </row>
    <row r="277" spans="4:20" x14ac:dyDescent="0.25">
      <c r="D277" s="106"/>
      <c r="K277" s="106"/>
      <c r="T277" s="106"/>
    </row>
    <row r="278" spans="4:20" x14ac:dyDescent="0.25">
      <c r="D278" s="106"/>
      <c r="K278" s="106"/>
      <c r="T278" s="106"/>
    </row>
    <row r="279" spans="4:20" x14ac:dyDescent="0.25">
      <c r="D279" s="106"/>
      <c r="K279" s="106"/>
      <c r="T279" s="106"/>
    </row>
    <row r="280" spans="4:20" x14ac:dyDescent="0.25">
      <c r="D280" s="106"/>
      <c r="K280" s="106"/>
      <c r="T280" s="106"/>
    </row>
    <row r="281" spans="4:20" x14ac:dyDescent="0.25">
      <c r="D281" s="106"/>
      <c r="K281" s="106"/>
      <c r="T281" s="106"/>
    </row>
    <row r="282" spans="4:20" x14ac:dyDescent="0.25">
      <c r="D282" s="106"/>
      <c r="K282" s="106"/>
      <c r="T282" s="10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25"/>
  <sheetViews>
    <sheetView view="pageBreakPreview" zoomScaleNormal="100" zoomScaleSheetLayoutView="100" workbookViewId="0">
      <selection activeCell="B2" sqref="B2"/>
    </sheetView>
  </sheetViews>
  <sheetFormatPr defaultRowHeight="15.75" x14ac:dyDescent="0.25"/>
  <cols>
    <col min="1" max="1" width="47.85546875" style="1" customWidth="1"/>
    <col min="2" max="2" width="57.42578125" style="1" customWidth="1"/>
    <col min="3" max="16384" width="9.140625" style="1"/>
  </cols>
  <sheetData>
    <row r="1" spans="1:2" ht="30" x14ac:dyDescent="0.25">
      <c r="B1" s="123" t="s">
        <v>399</v>
      </c>
    </row>
    <row r="2" spans="1:2" x14ac:dyDescent="0.25">
      <c r="B2" s="124" t="s">
        <v>400</v>
      </c>
    </row>
    <row r="3" spans="1:2" x14ac:dyDescent="0.25">
      <c r="B3" s="125" t="s">
        <v>385</v>
      </c>
    </row>
    <row r="4" spans="1:2" x14ac:dyDescent="0.25">
      <c r="A4" s="3"/>
      <c r="B4" s="2"/>
    </row>
    <row r="5" spans="1:2" x14ac:dyDescent="0.25">
      <c r="A5" s="238" t="s">
        <v>31</v>
      </c>
      <c r="B5" s="238"/>
    </row>
    <row r="6" spans="1:2" x14ac:dyDescent="0.25">
      <c r="A6" s="238" t="s">
        <v>32</v>
      </c>
      <c r="B6" s="238"/>
    </row>
    <row r="7" spans="1:2" x14ac:dyDescent="0.25">
      <c r="A7" s="239" t="s">
        <v>382</v>
      </c>
      <c r="B7" s="239"/>
    </row>
    <row r="8" spans="1:2" x14ac:dyDescent="0.25">
      <c r="A8" s="235" t="s">
        <v>33</v>
      </c>
      <c r="B8" s="236"/>
    </row>
    <row r="10" spans="1:2" ht="63" x14ac:dyDescent="0.25">
      <c r="A10" s="4" t="s">
        <v>34</v>
      </c>
      <c r="B10" s="210" t="s">
        <v>316</v>
      </c>
    </row>
    <row r="11" spans="1:2" ht="30" x14ac:dyDescent="0.25">
      <c r="A11" s="4" t="s">
        <v>35</v>
      </c>
      <c r="B11" s="126" t="s">
        <v>317</v>
      </c>
    </row>
    <row r="12" spans="1:2" ht="31.5" x14ac:dyDescent="0.25">
      <c r="A12" s="4" t="s">
        <v>36</v>
      </c>
      <c r="B12" s="211" t="s">
        <v>318</v>
      </c>
    </row>
    <row r="13" spans="1:2" ht="31.5" x14ac:dyDescent="0.25">
      <c r="A13" s="4" t="s">
        <v>37</v>
      </c>
      <c r="B13" s="210" t="s">
        <v>319</v>
      </c>
    </row>
    <row r="14" spans="1:2" ht="31.5" x14ac:dyDescent="0.25">
      <c r="A14" s="4" t="s">
        <v>38</v>
      </c>
      <c r="B14" s="210" t="s">
        <v>320</v>
      </c>
    </row>
    <row r="15" spans="1:2" ht="78.75" customHeight="1" x14ac:dyDescent="0.25">
      <c r="A15" s="4" t="s">
        <v>39</v>
      </c>
      <c r="B15" s="211" t="s">
        <v>40</v>
      </c>
    </row>
    <row r="16" spans="1:2" ht="78.75" customHeight="1" x14ac:dyDescent="0.25">
      <c r="A16" s="4" t="s">
        <v>41</v>
      </c>
      <c r="B16" s="211" t="s">
        <v>42</v>
      </c>
    </row>
    <row r="17" spans="1:2" ht="47.25" x14ac:dyDescent="0.25">
      <c r="A17" s="4" t="s">
        <v>43</v>
      </c>
      <c r="B17" s="127" t="s">
        <v>321</v>
      </c>
    </row>
    <row r="18" spans="1:2" ht="31.5" x14ac:dyDescent="0.25">
      <c r="A18" s="4" t="s">
        <v>44</v>
      </c>
      <c r="B18" s="211" t="s">
        <v>45</v>
      </c>
    </row>
    <row r="19" spans="1:2" ht="47.25" x14ac:dyDescent="0.25">
      <c r="A19" s="4" t="s">
        <v>46</v>
      </c>
      <c r="B19" s="212" t="s">
        <v>322</v>
      </c>
    </row>
    <row r="20" spans="1:2" ht="47.25" x14ac:dyDescent="0.25">
      <c r="A20" s="4" t="s">
        <v>47</v>
      </c>
      <c r="B20" s="211" t="s">
        <v>323</v>
      </c>
    </row>
    <row r="21" spans="1:2" ht="47.25" x14ac:dyDescent="0.25">
      <c r="A21" s="4" t="s">
        <v>48</v>
      </c>
      <c r="B21" s="211" t="s">
        <v>324</v>
      </c>
    </row>
    <row r="22" spans="1:2" ht="31.5" x14ac:dyDescent="0.25">
      <c r="A22" s="4" t="s">
        <v>49</v>
      </c>
      <c r="B22" s="211" t="s">
        <v>325</v>
      </c>
    </row>
    <row r="23" spans="1:2" x14ac:dyDescent="0.25">
      <c r="A23" s="5"/>
      <c r="B23" s="6"/>
    </row>
    <row r="24" spans="1:2" x14ac:dyDescent="0.25">
      <c r="A24" s="237"/>
      <c r="B24" s="237"/>
    </row>
    <row r="25" spans="1:2" ht="15.75" customHeight="1" x14ac:dyDescent="0.25"/>
  </sheetData>
  <mergeCells count="5">
    <mergeCell ref="A8:B8"/>
    <mergeCell ref="A24:B24"/>
    <mergeCell ref="A5:B5"/>
    <mergeCell ref="A6:B6"/>
    <mergeCell ref="A7:B7"/>
  </mergeCells>
  <pageMargins left="0.70866141732283472" right="0.70866141732283472" top="0.74803149606299213" bottom="0.74803149606299213" header="0.31496062992125984" footer="0.31496062992125984"/>
  <pageSetup paperSize="9" scale="82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O66"/>
  <sheetViews>
    <sheetView tabSelected="1" view="pageBreakPreview" topLeftCell="W1" zoomScale="50" zoomScaleNormal="100" zoomScaleSheetLayoutView="50" workbookViewId="0">
      <selection activeCell="AE10" sqref="AE10:AE13"/>
    </sheetView>
  </sheetViews>
  <sheetFormatPr defaultRowHeight="20.25" x14ac:dyDescent="0.3"/>
  <cols>
    <col min="1" max="1" width="9.42578125" style="133" bestFit="1" customWidth="1"/>
    <col min="2" max="2" width="57.28515625" style="133" customWidth="1"/>
    <col min="3" max="3" width="25" style="133" customWidth="1"/>
    <col min="4" max="4" width="16.42578125" style="133" customWidth="1"/>
    <col min="5" max="5" width="57" style="133" customWidth="1"/>
    <col min="6" max="6" width="15.140625" style="133" customWidth="1"/>
    <col min="7" max="7" width="12.28515625" style="133" customWidth="1"/>
    <col min="8" max="8" width="17.42578125" style="133" customWidth="1"/>
    <col min="9" max="9" width="16.42578125" style="133" customWidth="1"/>
    <col min="10" max="10" width="12.85546875" style="133" customWidth="1"/>
    <col min="11" max="11" width="14" style="133" customWidth="1"/>
    <col min="12" max="12" width="17.7109375" style="133" customWidth="1"/>
    <col min="13" max="13" width="13.85546875" style="133" customWidth="1"/>
    <col min="14" max="14" width="15.5703125" style="133" customWidth="1"/>
    <col min="15" max="15" width="11.85546875" style="133" customWidth="1"/>
    <col min="16" max="16" width="10.7109375" style="133" bestFit="1" customWidth="1"/>
    <col min="17" max="17" width="19.140625" style="133" customWidth="1"/>
    <col min="18" max="20" width="19.42578125" style="133" customWidth="1"/>
    <col min="21" max="21" width="10.5703125" style="133" customWidth="1"/>
    <col min="22" max="22" width="9.7109375" style="133" hidden="1" customWidth="1"/>
    <col min="23" max="25" width="9.7109375" style="133" bestFit="1" customWidth="1"/>
    <col min="26" max="26" width="17.5703125" style="133" customWidth="1"/>
    <col min="27" max="27" width="9.7109375" style="133" bestFit="1" customWidth="1"/>
    <col min="28" max="28" width="15.85546875" style="133" customWidth="1"/>
    <col min="29" max="30" width="9.7109375" style="133" bestFit="1" customWidth="1"/>
    <col min="31" max="31" width="19.28515625" style="133" customWidth="1"/>
    <col min="32" max="32" width="22.5703125" style="133" customWidth="1"/>
    <col min="33" max="33" width="21.42578125" style="133" customWidth="1"/>
    <col min="34" max="34" width="20.7109375" style="133" customWidth="1"/>
    <col min="35" max="35" width="22.28515625" style="133" customWidth="1"/>
    <col min="36" max="36" width="40.28515625" style="133" customWidth="1"/>
    <col min="37" max="37" width="20.140625" style="133" customWidth="1"/>
    <col min="38" max="38" width="26.85546875" style="133" customWidth="1"/>
    <col min="39" max="39" width="25.85546875" style="133" customWidth="1"/>
    <col min="40" max="40" width="33.5703125" style="133" customWidth="1"/>
    <col min="41" max="41" width="22.42578125" style="133" customWidth="1"/>
    <col min="42" max="16384" width="9.140625" style="133"/>
  </cols>
  <sheetData>
    <row r="1" spans="1:41" x14ac:dyDescent="0.3"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P1" s="128"/>
      <c r="Q1" s="164" t="s">
        <v>401</v>
      </c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E1" s="128"/>
      <c r="AG1" s="128"/>
      <c r="AH1" s="128"/>
      <c r="AI1" s="128"/>
      <c r="AJ1" s="128"/>
      <c r="AK1" s="164" t="str">
        <f>Q1</f>
        <v xml:space="preserve">Приложение 1/2 к протоколу заседания Правления Департамента энергетики </v>
      </c>
      <c r="AL1" s="128"/>
      <c r="AM1" s="128"/>
      <c r="AN1" s="128"/>
      <c r="AO1" s="164" t="str">
        <f>AK1</f>
        <v xml:space="preserve">Приложение 1/2 к протоколу заседания Правления Департамента энергетики </v>
      </c>
    </row>
    <row r="2" spans="1:41" x14ac:dyDescent="0.3"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P2" s="130"/>
      <c r="Q2" s="164" t="str">
        <f>'№1 ИП-ТС'!B2</f>
        <v>и тарифов Ивановской области от 13.12.2024 № 50/9</v>
      </c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E2" s="130"/>
      <c r="AG2" s="130"/>
      <c r="AH2" s="130"/>
      <c r="AI2" s="130"/>
      <c r="AJ2" s="130"/>
      <c r="AK2" s="164" t="str">
        <f>Q2</f>
        <v>и тарифов Ивановской области от 13.12.2024 № 50/9</v>
      </c>
      <c r="AL2" s="130"/>
      <c r="AM2" s="130"/>
      <c r="AN2" s="130"/>
      <c r="AO2" s="164" t="str">
        <f>AK2</f>
        <v>и тарифов Ивановской области от 13.12.2024 № 50/9</v>
      </c>
    </row>
    <row r="3" spans="1:41" x14ac:dyDescent="0.3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P3" s="130"/>
      <c r="Q3" s="164" t="s">
        <v>386</v>
      </c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E3" s="130"/>
      <c r="AG3" s="130"/>
      <c r="AH3" s="130"/>
      <c r="AI3" s="130"/>
      <c r="AJ3" s="130"/>
      <c r="AK3" s="164" t="s">
        <v>386</v>
      </c>
      <c r="AL3" s="130"/>
      <c r="AM3" s="130"/>
      <c r="AN3" s="130"/>
      <c r="AO3" s="164" t="s">
        <v>386</v>
      </c>
    </row>
    <row r="4" spans="1:41" ht="22.5" x14ac:dyDescent="0.3">
      <c r="A4" s="244" t="s">
        <v>30</v>
      </c>
      <c r="B4" s="244"/>
      <c r="C4" s="244"/>
      <c r="D4" s="244"/>
      <c r="E4" s="244"/>
      <c r="F4" s="244"/>
      <c r="G4" s="244"/>
      <c r="H4" s="244"/>
      <c r="I4" s="244"/>
      <c r="J4" s="244"/>
      <c r="K4" s="244"/>
      <c r="L4" s="244"/>
      <c r="M4" s="244"/>
      <c r="N4" s="244"/>
      <c r="O4" s="244"/>
      <c r="P4" s="244"/>
      <c r="Q4" s="244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130"/>
      <c r="AF4" s="130"/>
      <c r="AG4" s="130"/>
      <c r="AH4" s="130"/>
      <c r="AI4" s="130"/>
      <c r="AJ4" s="130"/>
      <c r="AK4" s="130"/>
      <c r="AL4" s="130"/>
      <c r="AM4" s="130"/>
      <c r="AN4" s="130"/>
      <c r="AO4" s="164"/>
    </row>
    <row r="5" spans="1:41" ht="22.5" x14ac:dyDescent="0.3">
      <c r="A5" s="244" t="s">
        <v>149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  <c r="O5" s="244"/>
      <c r="P5" s="244"/>
      <c r="Q5" s="244"/>
      <c r="R5" s="214"/>
      <c r="S5" s="214"/>
      <c r="T5" s="214"/>
      <c r="U5" s="214"/>
      <c r="V5" s="214"/>
      <c r="W5" s="214"/>
      <c r="X5" s="214"/>
      <c r="Y5" s="214"/>
      <c r="Z5" s="214"/>
      <c r="AA5" s="214"/>
      <c r="AB5" s="214"/>
      <c r="AC5" s="214"/>
      <c r="AD5" s="214"/>
      <c r="AE5" s="131"/>
      <c r="AF5" s="131"/>
      <c r="AG5" s="131"/>
      <c r="AH5" s="131"/>
      <c r="AI5" s="131"/>
      <c r="AJ5" s="131"/>
      <c r="AK5" s="131"/>
      <c r="AL5" s="131"/>
      <c r="AM5" s="131"/>
      <c r="AN5" s="131"/>
    </row>
    <row r="6" spans="1:41" ht="23.25" x14ac:dyDescent="0.3">
      <c r="A6" s="244" t="s">
        <v>33</v>
      </c>
      <c r="B6" s="244"/>
      <c r="C6" s="244"/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  <c r="AD6" s="215"/>
      <c r="AE6" s="131"/>
      <c r="AF6" s="131"/>
      <c r="AG6" s="131"/>
      <c r="AH6" s="131"/>
      <c r="AI6" s="131"/>
      <c r="AJ6" s="131"/>
      <c r="AK6" s="131"/>
      <c r="AL6" s="131"/>
      <c r="AM6" s="131"/>
      <c r="AN6" s="131"/>
      <c r="AO6" s="164"/>
    </row>
    <row r="7" spans="1:41" ht="22.5" x14ac:dyDescent="0.3">
      <c r="A7" s="244" t="s">
        <v>150</v>
      </c>
      <c r="B7" s="244"/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244"/>
      <c r="N7" s="244"/>
      <c r="O7" s="244"/>
      <c r="P7" s="244"/>
      <c r="Q7" s="244"/>
      <c r="R7" s="213"/>
      <c r="S7" s="213"/>
      <c r="T7" s="213"/>
      <c r="U7" s="213"/>
      <c r="V7" s="213"/>
      <c r="W7" s="213"/>
      <c r="X7" s="213"/>
      <c r="Y7" s="213"/>
      <c r="Z7" s="213"/>
      <c r="AA7" s="213"/>
      <c r="AB7" s="213"/>
      <c r="AC7" s="213"/>
      <c r="AD7" s="213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</row>
    <row r="8" spans="1:41" x14ac:dyDescent="0.3">
      <c r="A8" s="132"/>
      <c r="F8" s="134"/>
      <c r="G8" s="134"/>
      <c r="H8" s="134"/>
      <c r="I8" s="134"/>
      <c r="J8" s="134"/>
      <c r="K8" s="134"/>
      <c r="L8" s="134"/>
      <c r="M8" s="134"/>
      <c r="N8" s="134"/>
      <c r="O8" s="134"/>
      <c r="P8" s="134"/>
      <c r="Q8" s="134"/>
      <c r="R8" s="134"/>
      <c r="S8" s="134"/>
      <c r="T8" s="134"/>
      <c r="U8" s="134"/>
      <c r="V8" s="134"/>
      <c r="W8" s="134"/>
      <c r="X8" s="134"/>
      <c r="Y8" s="134"/>
      <c r="Z8" s="134"/>
      <c r="AA8" s="134"/>
      <c r="AB8" s="134"/>
      <c r="AC8" s="134"/>
      <c r="AD8" s="134"/>
      <c r="AE8" s="134"/>
      <c r="AF8" s="134"/>
    </row>
    <row r="9" spans="1:41" s="134" customFormat="1" x14ac:dyDescent="0.25">
      <c r="A9" s="240" t="s">
        <v>50</v>
      </c>
      <c r="B9" s="240" t="s">
        <v>51</v>
      </c>
      <c r="C9" s="240" t="s">
        <v>52</v>
      </c>
      <c r="D9" s="240" t="s">
        <v>53</v>
      </c>
      <c r="E9" s="240" t="s">
        <v>54</v>
      </c>
      <c r="F9" s="240" t="s">
        <v>55</v>
      </c>
      <c r="G9" s="240"/>
      <c r="H9" s="240"/>
      <c r="I9" s="240"/>
      <c r="J9" s="240"/>
      <c r="K9" s="240"/>
      <c r="L9" s="240"/>
      <c r="M9" s="240"/>
      <c r="N9" s="240"/>
      <c r="O9" s="240"/>
      <c r="P9" s="240" t="s">
        <v>56</v>
      </c>
      <c r="Q9" s="240" t="s">
        <v>57</v>
      </c>
      <c r="R9" s="240" t="s">
        <v>58</v>
      </c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 t="s">
        <v>405</v>
      </c>
      <c r="AF9" s="240"/>
      <c r="AG9" s="240"/>
      <c r="AH9" s="240"/>
      <c r="AI9" s="240"/>
      <c r="AJ9" s="240"/>
      <c r="AK9" s="240"/>
      <c r="AL9" s="240"/>
      <c r="AM9" s="240"/>
      <c r="AN9" s="240"/>
      <c r="AO9" s="240"/>
    </row>
    <row r="10" spans="1:41" s="134" customFormat="1" x14ac:dyDescent="0.25">
      <c r="A10" s="240"/>
      <c r="B10" s="240"/>
      <c r="C10" s="240"/>
      <c r="D10" s="240"/>
      <c r="E10" s="240"/>
      <c r="F10" s="240" t="s">
        <v>59</v>
      </c>
      <c r="G10" s="240"/>
      <c r="H10" s="240"/>
      <c r="I10" s="240"/>
      <c r="J10" s="240"/>
      <c r="K10" s="240"/>
      <c r="L10" s="240"/>
      <c r="M10" s="240"/>
      <c r="N10" s="240"/>
      <c r="O10" s="240"/>
      <c r="P10" s="240"/>
      <c r="Q10" s="240"/>
      <c r="R10" s="240" t="s">
        <v>60</v>
      </c>
      <c r="S10" s="240"/>
      <c r="T10" s="240"/>
      <c r="U10" s="240" t="s">
        <v>404</v>
      </c>
      <c r="V10" s="251" t="s">
        <v>61</v>
      </c>
      <c r="W10" s="252"/>
      <c r="X10" s="252"/>
      <c r="Y10" s="252"/>
      <c r="Z10" s="252"/>
      <c r="AA10" s="252"/>
      <c r="AB10" s="252"/>
      <c r="AC10" s="253"/>
      <c r="AD10" s="240" t="s">
        <v>62</v>
      </c>
      <c r="AE10" s="240" t="s">
        <v>63</v>
      </c>
      <c r="AF10" s="240" t="s">
        <v>64</v>
      </c>
      <c r="AG10" s="240" t="s">
        <v>65</v>
      </c>
      <c r="AH10" s="240" t="s">
        <v>66</v>
      </c>
      <c r="AI10" s="240" t="s">
        <v>67</v>
      </c>
      <c r="AJ10" s="240"/>
      <c r="AK10" s="240" t="s">
        <v>68</v>
      </c>
      <c r="AL10" s="240" t="s">
        <v>69</v>
      </c>
      <c r="AM10" s="240" t="s">
        <v>277</v>
      </c>
      <c r="AN10" s="240" t="s">
        <v>70</v>
      </c>
      <c r="AO10" s="240" t="s">
        <v>71</v>
      </c>
    </row>
    <row r="11" spans="1:41" s="134" customFormat="1" x14ac:dyDescent="0.25">
      <c r="A11" s="240"/>
      <c r="B11" s="240"/>
      <c r="C11" s="240"/>
      <c r="D11" s="240"/>
      <c r="E11" s="240"/>
      <c r="F11" s="240" t="s">
        <v>72</v>
      </c>
      <c r="G11" s="240"/>
      <c r="H11" s="240"/>
      <c r="I11" s="240"/>
      <c r="J11" s="240"/>
      <c r="K11" s="240" t="s">
        <v>73</v>
      </c>
      <c r="L11" s="240"/>
      <c r="M11" s="240"/>
      <c r="N11" s="240"/>
      <c r="O11" s="240"/>
      <c r="P11" s="240"/>
      <c r="Q11" s="240"/>
      <c r="R11" s="240"/>
      <c r="S11" s="240"/>
      <c r="T11" s="240"/>
      <c r="U11" s="240"/>
      <c r="V11" s="254"/>
      <c r="W11" s="255"/>
      <c r="X11" s="255"/>
      <c r="Y11" s="255"/>
      <c r="Z11" s="255"/>
      <c r="AA11" s="255"/>
      <c r="AB11" s="255"/>
      <c r="AC11" s="256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  <c r="AN11" s="240"/>
      <c r="AO11" s="240"/>
    </row>
    <row r="12" spans="1:41" s="134" customFormat="1" x14ac:dyDescent="0.25">
      <c r="A12" s="240"/>
      <c r="B12" s="240"/>
      <c r="C12" s="240"/>
      <c r="D12" s="240"/>
      <c r="E12" s="240"/>
      <c r="F12" s="240" t="s">
        <v>74</v>
      </c>
      <c r="G12" s="240"/>
      <c r="H12" s="240"/>
      <c r="I12" s="240"/>
      <c r="J12" s="240" t="s">
        <v>75</v>
      </c>
      <c r="K12" s="240" t="s">
        <v>74</v>
      </c>
      <c r="L12" s="240"/>
      <c r="M12" s="240"/>
      <c r="N12" s="240"/>
      <c r="O12" s="240" t="s">
        <v>75</v>
      </c>
      <c r="P12" s="240"/>
      <c r="Q12" s="240"/>
      <c r="R12" s="240" t="s">
        <v>22</v>
      </c>
      <c r="S12" s="240" t="s">
        <v>23</v>
      </c>
      <c r="T12" s="240"/>
      <c r="U12" s="240"/>
      <c r="V12" s="257"/>
      <c r="W12" s="258"/>
      <c r="X12" s="258"/>
      <c r="Y12" s="258"/>
      <c r="Z12" s="258"/>
      <c r="AA12" s="258"/>
      <c r="AB12" s="258"/>
      <c r="AC12" s="259"/>
      <c r="AD12" s="240"/>
      <c r="AE12" s="240"/>
      <c r="AF12" s="240"/>
      <c r="AG12" s="240"/>
      <c r="AH12" s="240"/>
      <c r="AI12" s="240" t="s">
        <v>76</v>
      </c>
      <c r="AJ12" s="240" t="s">
        <v>77</v>
      </c>
      <c r="AK12" s="240"/>
      <c r="AL12" s="240"/>
      <c r="AM12" s="240"/>
      <c r="AN12" s="240"/>
      <c r="AO12" s="240"/>
    </row>
    <row r="13" spans="1:41" s="134" customFormat="1" ht="327.75" customHeight="1" x14ac:dyDescent="0.25">
      <c r="A13" s="240"/>
      <c r="B13" s="240"/>
      <c r="C13" s="240"/>
      <c r="D13" s="240"/>
      <c r="E13" s="240"/>
      <c r="F13" s="135" t="s">
        <v>78</v>
      </c>
      <c r="G13" s="135" t="s">
        <v>79</v>
      </c>
      <c r="H13" s="135" t="s">
        <v>80</v>
      </c>
      <c r="I13" s="135" t="s">
        <v>81</v>
      </c>
      <c r="J13" s="240"/>
      <c r="K13" s="135" t="s">
        <v>78</v>
      </c>
      <c r="L13" s="135" t="s">
        <v>79</v>
      </c>
      <c r="M13" s="135" t="s">
        <v>80</v>
      </c>
      <c r="N13" s="135" t="s">
        <v>81</v>
      </c>
      <c r="O13" s="240"/>
      <c r="P13" s="240"/>
      <c r="Q13" s="240"/>
      <c r="R13" s="240"/>
      <c r="S13" s="135" t="s">
        <v>82</v>
      </c>
      <c r="T13" s="135" t="s">
        <v>83</v>
      </c>
      <c r="U13" s="240"/>
      <c r="V13" s="135">
        <v>2023</v>
      </c>
      <c r="W13" s="135">
        <v>2024</v>
      </c>
      <c r="X13" s="135">
        <v>2025</v>
      </c>
      <c r="Y13" s="135">
        <v>2026</v>
      </c>
      <c r="Z13" s="135">
        <v>2027</v>
      </c>
      <c r="AA13" s="135">
        <v>2028</v>
      </c>
      <c r="AB13" s="135">
        <v>2029</v>
      </c>
      <c r="AC13" s="135" t="s">
        <v>178</v>
      </c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  <c r="AN13" s="240"/>
      <c r="AO13" s="240"/>
    </row>
    <row r="14" spans="1:41" x14ac:dyDescent="0.3">
      <c r="A14" s="136">
        <v>1</v>
      </c>
      <c r="B14" s="136">
        <v>2</v>
      </c>
      <c r="C14" s="136">
        <v>3</v>
      </c>
      <c r="D14" s="136">
        <v>4</v>
      </c>
      <c r="E14" s="136">
        <v>5</v>
      </c>
      <c r="F14" s="136" t="s">
        <v>11</v>
      </c>
      <c r="G14" s="136" t="s">
        <v>13</v>
      </c>
      <c r="H14" s="136" t="s">
        <v>14</v>
      </c>
      <c r="I14" s="136" t="s">
        <v>15</v>
      </c>
      <c r="J14" s="136" t="s">
        <v>84</v>
      </c>
      <c r="K14" s="136" t="s">
        <v>16</v>
      </c>
      <c r="L14" s="136" t="s">
        <v>17</v>
      </c>
      <c r="M14" s="136" t="s">
        <v>18</v>
      </c>
      <c r="N14" s="136" t="s">
        <v>19</v>
      </c>
      <c r="O14" s="136" t="s">
        <v>85</v>
      </c>
      <c r="P14" s="136">
        <v>8</v>
      </c>
      <c r="Q14" s="136">
        <v>9</v>
      </c>
      <c r="R14" s="136" t="s">
        <v>86</v>
      </c>
      <c r="S14" s="136" t="s">
        <v>87</v>
      </c>
      <c r="T14" s="136" t="s">
        <v>88</v>
      </c>
      <c r="U14" s="136" t="s">
        <v>89</v>
      </c>
      <c r="V14" s="136" t="s">
        <v>90</v>
      </c>
      <c r="W14" s="136" t="s">
        <v>90</v>
      </c>
      <c r="X14" s="136" t="s">
        <v>91</v>
      </c>
      <c r="Y14" s="136" t="s">
        <v>92</v>
      </c>
      <c r="Z14" s="136" t="s">
        <v>93</v>
      </c>
      <c r="AA14" s="136" t="s">
        <v>94</v>
      </c>
      <c r="AB14" s="136" t="s">
        <v>95</v>
      </c>
      <c r="AC14" s="136" t="s">
        <v>96</v>
      </c>
      <c r="AD14" s="136" t="s">
        <v>97</v>
      </c>
      <c r="AE14" s="136" t="s">
        <v>98</v>
      </c>
      <c r="AF14" s="136" t="s">
        <v>99</v>
      </c>
      <c r="AG14" s="136" t="s">
        <v>100</v>
      </c>
      <c r="AH14" s="136" t="s">
        <v>101</v>
      </c>
      <c r="AI14" s="136" t="s">
        <v>102</v>
      </c>
      <c r="AJ14" s="136" t="s">
        <v>103</v>
      </c>
      <c r="AK14" s="136" t="s">
        <v>104</v>
      </c>
      <c r="AL14" s="136" t="s">
        <v>105</v>
      </c>
      <c r="AM14" s="136" t="s">
        <v>106</v>
      </c>
      <c r="AN14" s="136" t="s">
        <v>107</v>
      </c>
      <c r="AO14" s="136" t="s">
        <v>108</v>
      </c>
    </row>
    <row r="15" spans="1:41" ht="18.75" customHeight="1" x14ac:dyDescent="0.3">
      <c r="A15" s="241" t="s">
        <v>109</v>
      </c>
      <c r="B15" s="243"/>
      <c r="C15" s="243"/>
      <c r="D15" s="243"/>
      <c r="E15" s="242"/>
      <c r="F15" s="137"/>
      <c r="G15" s="137"/>
      <c r="H15" s="137"/>
      <c r="I15" s="137"/>
      <c r="J15" s="137"/>
      <c r="K15" s="137"/>
      <c r="L15" s="138"/>
      <c r="M15" s="138"/>
      <c r="N15" s="138"/>
      <c r="O15" s="138"/>
      <c r="P15" s="138"/>
      <c r="Q15" s="138"/>
      <c r="R15" s="138"/>
      <c r="S15" s="138"/>
      <c r="T15" s="135"/>
      <c r="U15" s="135"/>
      <c r="V15" s="135"/>
      <c r="W15" s="135"/>
      <c r="X15" s="135"/>
      <c r="Y15" s="135"/>
      <c r="Z15" s="135"/>
      <c r="AA15" s="135"/>
      <c r="AB15" s="135"/>
      <c r="AC15" s="135"/>
      <c r="AD15" s="135"/>
      <c r="AE15" s="135"/>
      <c r="AF15" s="135"/>
      <c r="AG15" s="138"/>
      <c r="AH15" s="138"/>
      <c r="AI15" s="138"/>
      <c r="AJ15" s="138"/>
      <c r="AK15" s="138"/>
      <c r="AL15" s="138"/>
      <c r="AM15" s="138"/>
      <c r="AN15" s="138"/>
      <c r="AO15" s="138"/>
    </row>
    <row r="16" spans="1:41" ht="18.75" customHeight="1" x14ac:dyDescent="0.3">
      <c r="A16" s="137" t="s">
        <v>110</v>
      </c>
      <c r="B16" s="137"/>
      <c r="C16" s="137"/>
      <c r="D16" s="137"/>
      <c r="E16" s="137"/>
      <c r="F16" s="137"/>
      <c r="G16" s="137"/>
      <c r="H16" s="137"/>
      <c r="I16" s="137"/>
      <c r="J16" s="137"/>
      <c r="K16" s="137"/>
      <c r="L16" s="138"/>
      <c r="M16" s="138"/>
      <c r="N16" s="138"/>
      <c r="O16" s="135"/>
      <c r="P16" s="135"/>
      <c r="Q16" s="135"/>
      <c r="R16" s="139"/>
      <c r="S16" s="139"/>
      <c r="T16" s="139"/>
      <c r="U16" s="139"/>
      <c r="V16" s="139"/>
      <c r="W16" s="139"/>
      <c r="X16" s="139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  <c r="AN16" s="139"/>
      <c r="AO16" s="139"/>
    </row>
    <row r="17" spans="1:41" x14ac:dyDescent="0.3">
      <c r="A17" s="140" t="s">
        <v>111</v>
      </c>
      <c r="B17" s="137"/>
      <c r="C17" s="137"/>
      <c r="D17" s="137"/>
      <c r="E17" s="137"/>
      <c r="F17" s="141"/>
      <c r="G17" s="141"/>
      <c r="H17" s="141"/>
      <c r="I17" s="141"/>
      <c r="J17" s="141"/>
      <c r="K17" s="141"/>
      <c r="L17" s="142"/>
      <c r="M17" s="142"/>
      <c r="N17" s="142"/>
      <c r="O17" s="142"/>
      <c r="P17" s="142"/>
      <c r="Q17" s="142"/>
      <c r="R17" s="139"/>
      <c r="S17" s="139"/>
      <c r="T17" s="139"/>
      <c r="U17" s="139"/>
      <c r="V17" s="139"/>
      <c r="W17" s="139"/>
      <c r="X17" s="139"/>
      <c r="Y17" s="139"/>
      <c r="Z17" s="139"/>
      <c r="AA17" s="139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  <c r="AN17" s="139"/>
      <c r="AO17" s="139"/>
    </row>
    <row r="18" spans="1:41" x14ac:dyDescent="0.3">
      <c r="A18" s="140" t="s">
        <v>112</v>
      </c>
      <c r="B18" s="137"/>
      <c r="C18" s="137"/>
      <c r="D18" s="137"/>
      <c r="E18" s="137"/>
      <c r="F18" s="141"/>
      <c r="G18" s="141"/>
      <c r="H18" s="141"/>
      <c r="I18" s="141"/>
      <c r="J18" s="141"/>
      <c r="K18" s="141"/>
      <c r="L18" s="142"/>
      <c r="M18" s="142"/>
      <c r="N18" s="142"/>
      <c r="O18" s="142"/>
      <c r="P18" s="142"/>
      <c r="Q18" s="142"/>
      <c r="R18" s="139"/>
      <c r="S18" s="139"/>
      <c r="T18" s="139"/>
      <c r="U18" s="139"/>
      <c r="V18" s="139"/>
      <c r="W18" s="139"/>
      <c r="X18" s="139"/>
      <c r="Y18" s="139"/>
      <c r="Z18" s="139"/>
      <c r="AA18" s="139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  <c r="AN18" s="139"/>
      <c r="AO18" s="139"/>
    </row>
    <row r="19" spans="1:41" ht="18.75" customHeight="1" x14ac:dyDescent="0.3">
      <c r="A19" s="241" t="s">
        <v>113</v>
      </c>
      <c r="B19" s="243"/>
      <c r="C19" s="243"/>
      <c r="D19" s="243"/>
      <c r="E19" s="243"/>
      <c r="F19" s="242"/>
      <c r="G19" s="137"/>
      <c r="H19" s="137"/>
      <c r="I19" s="137"/>
      <c r="J19" s="137"/>
      <c r="K19" s="137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5"/>
      <c r="AG19" s="138"/>
      <c r="AH19" s="138"/>
      <c r="AI19" s="138"/>
      <c r="AJ19" s="138"/>
      <c r="AK19" s="138"/>
      <c r="AL19" s="138"/>
      <c r="AM19" s="138"/>
      <c r="AN19" s="138"/>
      <c r="AO19" s="138"/>
    </row>
    <row r="20" spans="1:41" x14ac:dyDescent="0.3">
      <c r="A20" s="140" t="s">
        <v>114</v>
      </c>
      <c r="B20" s="137"/>
      <c r="C20" s="137"/>
      <c r="D20" s="137"/>
      <c r="E20" s="137"/>
      <c r="F20" s="141"/>
      <c r="G20" s="141"/>
      <c r="H20" s="141"/>
      <c r="I20" s="141"/>
      <c r="J20" s="141"/>
      <c r="K20" s="141"/>
      <c r="L20" s="142"/>
      <c r="M20" s="142"/>
      <c r="N20" s="142"/>
      <c r="O20" s="142"/>
      <c r="P20" s="142"/>
      <c r="Q20" s="142"/>
      <c r="R20" s="139"/>
      <c r="S20" s="139"/>
      <c r="T20" s="139"/>
      <c r="U20" s="139"/>
      <c r="V20" s="139"/>
      <c r="W20" s="139"/>
      <c r="X20" s="139"/>
      <c r="Y20" s="139"/>
      <c r="Z20" s="139"/>
      <c r="AA20" s="139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  <c r="AN20" s="139"/>
      <c r="AO20" s="139"/>
    </row>
    <row r="21" spans="1:41" x14ac:dyDescent="0.3">
      <c r="A21" s="140" t="s">
        <v>115</v>
      </c>
      <c r="B21" s="137"/>
      <c r="C21" s="137"/>
      <c r="D21" s="137"/>
      <c r="E21" s="137"/>
      <c r="F21" s="141"/>
      <c r="G21" s="141"/>
      <c r="H21" s="141"/>
      <c r="I21" s="141"/>
      <c r="J21" s="141"/>
      <c r="K21" s="141"/>
      <c r="L21" s="142"/>
      <c r="M21" s="142"/>
      <c r="N21" s="142"/>
      <c r="O21" s="142"/>
      <c r="P21" s="142"/>
      <c r="Q21" s="142"/>
      <c r="R21" s="139"/>
      <c r="S21" s="139"/>
      <c r="T21" s="139"/>
      <c r="U21" s="139"/>
      <c r="V21" s="139"/>
      <c r="W21" s="139"/>
      <c r="X21" s="139"/>
      <c r="Y21" s="139"/>
      <c r="Z21" s="139"/>
      <c r="AA21" s="139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  <c r="AN21" s="139"/>
      <c r="AO21" s="139"/>
    </row>
    <row r="22" spans="1:41" ht="18.75" customHeight="1" x14ac:dyDescent="0.3">
      <c r="A22" s="241" t="s">
        <v>116</v>
      </c>
      <c r="B22" s="243"/>
      <c r="C22" s="243"/>
      <c r="D22" s="243"/>
      <c r="E22" s="243"/>
      <c r="F22" s="242"/>
      <c r="G22" s="137"/>
      <c r="H22" s="137"/>
      <c r="I22" s="137"/>
      <c r="J22" s="137"/>
      <c r="K22" s="137"/>
      <c r="L22" s="138"/>
      <c r="M22" s="138"/>
      <c r="N22" s="138"/>
      <c r="O22" s="138"/>
      <c r="P22" s="138"/>
      <c r="Q22" s="138"/>
      <c r="R22" s="138"/>
      <c r="S22" s="138"/>
      <c r="T22" s="138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8"/>
      <c r="AH22" s="138"/>
      <c r="AI22" s="138"/>
      <c r="AJ22" s="138"/>
      <c r="AK22" s="138"/>
      <c r="AL22" s="138"/>
      <c r="AM22" s="138"/>
      <c r="AN22" s="138"/>
      <c r="AO22" s="138"/>
    </row>
    <row r="23" spans="1:41" x14ac:dyDescent="0.3">
      <c r="A23" s="140" t="s">
        <v>117</v>
      </c>
      <c r="B23" s="137"/>
      <c r="C23" s="137"/>
      <c r="D23" s="137"/>
      <c r="E23" s="137"/>
      <c r="F23" s="141"/>
      <c r="G23" s="141"/>
      <c r="H23" s="141"/>
      <c r="I23" s="141"/>
      <c r="J23" s="141"/>
      <c r="K23" s="141"/>
      <c r="L23" s="142"/>
      <c r="M23" s="142"/>
      <c r="N23" s="142"/>
      <c r="O23" s="142"/>
      <c r="P23" s="142"/>
      <c r="Q23" s="142"/>
      <c r="R23" s="139"/>
      <c r="S23" s="139"/>
      <c r="T23" s="139"/>
      <c r="U23" s="139"/>
      <c r="V23" s="139"/>
      <c r="W23" s="139"/>
      <c r="X23" s="139"/>
      <c r="Y23" s="139"/>
      <c r="Z23" s="139"/>
      <c r="AA23" s="139"/>
      <c r="AB23" s="139"/>
      <c r="AC23" s="139"/>
      <c r="AD23" s="139"/>
      <c r="AE23" s="139"/>
      <c r="AF23" s="139"/>
      <c r="AG23" s="139"/>
      <c r="AH23" s="139"/>
      <c r="AI23" s="139"/>
      <c r="AJ23" s="139"/>
      <c r="AK23" s="139"/>
      <c r="AL23" s="139"/>
      <c r="AM23" s="139"/>
      <c r="AN23" s="139"/>
      <c r="AO23" s="139"/>
    </row>
    <row r="24" spans="1:41" x14ac:dyDescent="0.3">
      <c r="A24" s="140" t="s">
        <v>118</v>
      </c>
      <c r="B24" s="137"/>
      <c r="C24" s="137"/>
      <c r="D24" s="137"/>
      <c r="E24" s="137"/>
      <c r="F24" s="141"/>
      <c r="G24" s="141"/>
      <c r="H24" s="141"/>
      <c r="I24" s="141"/>
      <c r="J24" s="141"/>
      <c r="K24" s="141"/>
      <c r="L24" s="142"/>
      <c r="M24" s="142"/>
      <c r="N24" s="142"/>
      <c r="O24" s="142"/>
      <c r="P24" s="142"/>
      <c r="Q24" s="142"/>
      <c r="R24" s="139"/>
      <c r="S24" s="139"/>
      <c r="T24" s="139"/>
      <c r="U24" s="139"/>
      <c r="V24" s="139"/>
      <c r="W24" s="139"/>
      <c r="X24" s="139"/>
      <c r="Y24" s="139"/>
      <c r="Z24" s="139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</row>
    <row r="25" spans="1:41" ht="21.75" customHeight="1" x14ac:dyDescent="0.3">
      <c r="A25" s="241" t="s">
        <v>119</v>
      </c>
      <c r="B25" s="243"/>
      <c r="C25" s="243"/>
      <c r="D25" s="243"/>
      <c r="E25" s="243"/>
      <c r="F25" s="243"/>
      <c r="G25" s="243"/>
      <c r="H25" s="243"/>
      <c r="I25" s="243"/>
      <c r="J25" s="243"/>
      <c r="K25" s="242"/>
      <c r="L25" s="138"/>
      <c r="M25" s="138"/>
      <c r="N25" s="138"/>
      <c r="O25" s="138"/>
      <c r="P25" s="138"/>
      <c r="Q25" s="138"/>
      <c r="R25" s="138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  <c r="AF25" s="138"/>
      <c r="AG25" s="138"/>
      <c r="AH25" s="138"/>
      <c r="AI25" s="138"/>
      <c r="AJ25" s="138"/>
      <c r="AK25" s="138"/>
      <c r="AL25" s="138"/>
      <c r="AM25" s="138"/>
      <c r="AN25" s="138"/>
      <c r="AO25" s="138"/>
    </row>
    <row r="26" spans="1:41" x14ac:dyDescent="0.3">
      <c r="A26" s="140" t="s">
        <v>120</v>
      </c>
      <c r="B26" s="137"/>
      <c r="C26" s="137"/>
      <c r="D26" s="137"/>
      <c r="E26" s="137"/>
      <c r="F26" s="141"/>
      <c r="G26" s="141"/>
      <c r="H26" s="141"/>
      <c r="I26" s="141"/>
      <c r="J26" s="141"/>
      <c r="K26" s="141"/>
      <c r="L26" s="142"/>
      <c r="M26" s="142"/>
      <c r="N26" s="142"/>
      <c r="O26" s="142"/>
      <c r="P26" s="142"/>
      <c r="Q26" s="142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</row>
    <row r="27" spans="1:41" x14ac:dyDescent="0.3">
      <c r="A27" s="140" t="s">
        <v>121</v>
      </c>
      <c r="B27" s="137"/>
      <c r="C27" s="137"/>
      <c r="D27" s="137"/>
      <c r="E27" s="137"/>
      <c r="F27" s="141"/>
      <c r="G27" s="141"/>
      <c r="H27" s="141"/>
      <c r="I27" s="141"/>
      <c r="J27" s="141"/>
      <c r="K27" s="141"/>
      <c r="L27" s="142"/>
      <c r="M27" s="142"/>
      <c r="N27" s="142"/>
      <c r="O27" s="142"/>
      <c r="P27" s="142"/>
      <c r="Q27" s="142"/>
      <c r="R27" s="139"/>
      <c r="S27" s="139"/>
      <c r="T27" s="139"/>
      <c r="U27" s="139"/>
      <c r="V27" s="139"/>
      <c r="W27" s="139"/>
      <c r="X27" s="139"/>
      <c r="Y27" s="139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  <c r="AN27" s="139"/>
      <c r="AO27" s="139"/>
    </row>
    <row r="28" spans="1:41" ht="18.75" customHeight="1" x14ac:dyDescent="0.3">
      <c r="A28" s="137" t="s">
        <v>122</v>
      </c>
      <c r="B28" s="137"/>
      <c r="C28" s="137"/>
      <c r="D28" s="137"/>
      <c r="E28" s="137"/>
      <c r="F28" s="141"/>
      <c r="G28" s="141"/>
      <c r="H28" s="141"/>
      <c r="I28" s="141"/>
      <c r="J28" s="141"/>
      <c r="K28" s="141"/>
      <c r="L28" s="142"/>
      <c r="M28" s="142"/>
      <c r="N28" s="142"/>
      <c r="O28" s="142"/>
      <c r="P28" s="142"/>
      <c r="Q28" s="142"/>
      <c r="R28" s="139"/>
      <c r="S28" s="139"/>
      <c r="T28" s="139"/>
      <c r="U28" s="139"/>
      <c r="V28" s="139"/>
      <c r="W28" s="139"/>
      <c r="X28" s="139"/>
      <c r="Y28" s="139"/>
      <c r="Z28" s="139"/>
      <c r="AA28" s="139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  <c r="AN28" s="139"/>
      <c r="AO28" s="139"/>
    </row>
    <row r="29" spans="1:41" ht="27" customHeight="1" x14ac:dyDescent="0.3">
      <c r="A29" s="241" t="s">
        <v>123</v>
      </c>
      <c r="B29" s="243"/>
      <c r="C29" s="243"/>
      <c r="D29" s="243"/>
      <c r="E29" s="243"/>
      <c r="F29" s="243"/>
      <c r="G29" s="243"/>
      <c r="H29" s="243"/>
      <c r="I29" s="243"/>
      <c r="J29" s="243"/>
      <c r="K29" s="242"/>
      <c r="L29" s="138"/>
      <c r="M29" s="138"/>
      <c r="N29" s="138"/>
      <c r="O29" s="138"/>
      <c r="P29" s="138"/>
      <c r="Q29" s="138"/>
      <c r="R29" s="138"/>
      <c r="S29" s="138"/>
      <c r="T29" s="138"/>
      <c r="U29" s="138"/>
      <c r="V29" s="138"/>
      <c r="W29" s="138"/>
      <c r="X29" s="138"/>
      <c r="Y29" s="138"/>
      <c r="Z29" s="138"/>
      <c r="AA29" s="138"/>
      <c r="AB29" s="138"/>
      <c r="AC29" s="138"/>
      <c r="AD29" s="138"/>
      <c r="AE29" s="138"/>
      <c r="AF29" s="138"/>
      <c r="AG29" s="138"/>
      <c r="AH29" s="138"/>
      <c r="AI29" s="138"/>
      <c r="AJ29" s="138"/>
      <c r="AK29" s="138"/>
      <c r="AL29" s="138"/>
      <c r="AM29" s="138"/>
      <c r="AN29" s="138"/>
      <c r="AO29" s="138"/>
    </row>
    <row r="30" spans="1:41" x14ac:dyDescent="0.3">
      <c r="A30" s="136" t="s">
        <v>24</v>
      </c>
      <c r="B30" s="138"/>
      <c r="C30" s="138"/>
      <c r="D30" s="138"/>
      <c r="E30" s="138"/>
      <c r="F30" s="142"/>
      <c r="G30" s="142"/>
      <c r="H30" s="142"/>
      <c r="I30" s="142"/>
      <c r="J30" s="142"/>
      <c r="K30" s="142"/>
      <c r="L30" s="142"/>
      <c r="M30" s="142"/>
      <c r="N30" s="142"/>
      <c r="O30" s="142"/>
      <c r="P30" s="142"/>
      <c r="Q30" s="142"/>
      <c r="R30" s="139"/>
      <c r="S30" s="139"/>
      <c r="T30" s="139"/>
      <c r="U30" s="139"/>
      <c r="V30" s="139"/>
      <c r="W30" s="139"/>
      <c r="X30" s="139"/>
      <c r="Y30" s="139"/>
      <c r="Z30" s="139"/>
      <c r="AA30" s="139"/>
      <c r="AB30" s="139"/>
      <c r="AC30" s="139"/>
      <c r="AD30" s="139"/>
      <c r="AE30" s="139"/>
      <c r="AF30" s="139"/>
      <c r="AG30" s="139"/>
      <c r="AH30" s="139"/>
      <c r="AI30" s="139"/>
      <c r="AJ30" s="139"/>
      <c r="AK30" s="139"/>
      <c r="AL30" s="139"/>
      <c r="AM30" s="139"/>
      <c r="AN30" s="139"/>
      <c r="AO30" s="139"/>
    </row>
    <row r="31" spans="1:41" x14ac:dyDescent="0.3">
      <c r="A31" s="136" t="s">
        <v>124</v>
      </c>
      <c r="B31" s="138"/>
      <c r="C31" s="138"/>
      <c r="D31" s="138"/>
      <c r="E31" s="138"/>
      <c r="F31" s="142"/>
      <c r="G31" s="142"/>
      <c r="H31" s="142"/>
      <c r="I31" s="142"/>
      <c r="J31" s="142"/>
      <c r="K31" s="142"/>
      <c r="L31" s="142"/>
      <c r="M31" s="142"/>
      <c r="N31" s="142"/>
      <c r="O31" s="142"/>
      <c r="P31" s="142"/>
      <c r="Q31" s="142"/>
      <c r="R31" s="139"/>
      <c r="S31" s="139"/>
      <c r="T31" s="139"/>
      <c r="U31" s="139"/>
      <c r="V31" s="139"/>
      <c r="W31" s="139"/>
      <c r="X31" s="139"/>
      <c r="Y31" s="139"/>
      <c r="Z31" s="139"/>
      <c r="AA31" s="139"/>
      <c r="AB31" s="139"/>
      <c r="AC31" s="139"/>
      <c r="AD31" s="139"/>
      <c r="AE31" s="139"/>
      <c r="AF31" s="139"/>
      <c r="AG31" s="139"/>
      <c r="AH31" s="139"/>
      <c r="AI31" s="139"/>
      <c r="AJ31" s="139"/>
      <c r="AK31" s="139"/>
      <c r="AL31" s="139"/>
      <c r="AM31" s="139"/>
      <c r="AN31" s="139"/>
      <c r="AO31" s="139"/>
    </row>
    <row r="32" spans="1:41" ht="18.75" customHeight="1" x14ac:dyDescent="0.3">
      <c r="A32" s="241" t="s">
        <v>125</v>
      </c>
      <c r="B32" s="242"/>
      <c r="C32" s="143"/>
      <c r="D32" s="138"/>
      <c r="E32" s="138"/>
      <c r="F32" s="142"/>
      <c r="G32" s="142"/>
      <c r="H32" s="142"/>
      <c r="I32" s="142"/>
      <c r="J32" s="142"/>
      <c r="K32" s="142"/>
      <c r="L32" s="142"/>
      <c r="M32" s="142"/>
      <c r="N32" s="142"/>
      <c r="O32" s="142"/>
      <c r="P32" s="142"/>
      <c r="Q32" s="142"/>
      <c r="R32" s="139"/>
      <c r="S32" s="139"/>
      <c r="T32" s="139"/>
      <c r="U32" s="139"/>
      <c r="V32" s="139"/>
      <c r="W32" s="139"/>
      <c r="X32" s="139"/>
      <c r="Y32" s="139"/>
      <c r="Z32" s="139"/>
      <c r="AA32" s="139"/>
      <c r="AB32" s="139"/>
      <c r="AC32" s="139"/>
      <c r="AD32" s="139"/>
      <c r="AE32" s="139"/>
      <c r="AF32" s="139"/>
      <c r="AG32" s="139"/>
      <c r="AH32" s="139"/>
      <c r="AI32" s="139"/>
      <c r="AJ32" s="139"/>
      <c r="AK32" s="139"/>
      <c r="AL32" s="139"/>
      <c r="AM32" s="139"/>
      <c r="AN32" s="139"/>
      <c r="AO32" s="139"/>
    </row>
    <row r="33" spans="1:41" ht="27.75" customHeight="1" x14ac:dyDescent="0.3">
      <c r="A33" s="241" t="s">
        <v>126</v>
      </c>
      <c r="B33" s="243"/>
      <c r="C33" s="243"/>
      <c r="D33" s="243"/>
      <c r="E33" s="243"/>
      <c r="F33" s="243"/>
      <c r="G33" s="243"/>
      <c r="H33" s="243"/>
      <c r="I33" s="243"/>
      <c r="J33" s="243"/>
      <c r="K33" s="243"/>
      <c r="L33" s="243"/>
      <c r="M33" s="243"/>
      <c r="N33" s="243"/>
      <c r="O33" s="243"/>
      <c r="P33" s="243"/>
      <c r="Q33" s="242"/>
      <c r="R33" s="138"/>
      <c r="S33" s="138"/>
      <c r="T33" s="138"/>
      <c r="U33" s="138"/>
      <c r="V33" s="138"/>
      <c r="W33" s="138"/>
      <c r="X33" s="138"/>
      <c r="Y33" s="138"/>
      <c r="Z33" s="138"/>
      <c r="AA33" s="138"/>
      <c r="AB33" s="138"/>
      <c r="AC33" s="138"/>
      <c r="AD33" s="138"/>
      <c r="AE33" s="138"/>
      <c r="AF33" s="138"/>
      <c r="AG33" s="138"/>
      <c r="AH33" s="138"/>
      <c r="AI33" s="138"/>
      <c r="AJ33" s="138"/>
      <c r="AK33" s="138"/>
      <c r="AL33" s="138"/>
      <c r="AM33" s="138"/>
      <c r="AN33" s="138"/>
      <c r="AO33" s="138"/>
    </row>
    <row r="34" spans="1:41" ht="21.75" customHeight="1" x14ac:dyDescent="0.3">
      <c r="A34" s="241" t="s">
        <v>127</v>
      </c>
      <c r="B34" s="243"/>
      <c r="C34" s="243"/>
      <c r="D34" s="242"/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7"/>
      <c r="R34" s="139"/>
      <c r="S34" s="139"/>
      <c r="T34" s="139"/>
      <c r="U34" s="139"/>
      <c r="V34" s="139"/>
      <c r="W34" s="139"/>
      <c r="X34" s="139"/>
      <c r="Y34" s="139"/>
      <c r="Z34" s="139"/>
      <c r="AA34" s="139"/>
      <c r="AB34" s="139"/>
      <c r="AC34" s="139"/>
      <c r="AD34" s="139"/>
      <c r="AE34" s="139"/>
      <c r="AF34" s="139"/>
      <c r="AG34" s="139"/>
      <c r="AH34" s="139"/>
      <c r="AI34" s="139"/>
      <c r="AJ34" s="139"/>
      <c r="AK34" s="139"/>
      <c r="AL34" s="139"/>
      <c r="AM34" s="139"/>
      <c r="AN34" s="139"/>
      <c r="AO34" s="139"/>
    </row>
    <row r="35" spans="1:41" ht="127.5" customHeight="1" x14ac:dyDescent="0.3">
      <c r="A35" s="144" t="s">
        <v>128</v>
      </c>
      <c r="B35" s="165" t="s">
        <v>151</v>
      </c>
      <c r="C35" s="145" t="s">
        <v>163</v>
      </c>
      <c r="D35" s="144" t="s">
        <v>132</v>
      </c>
      <c r="E35" s="165" t="s">
        <v>164</v>
      </c>
      <c r="F35" s="139">
        <v>108</v>
      </c>
      <c r="G35" s="146">
        <v>11.5</v>
      </c>
      <c r="H35" s="139">
        <v>8.9999999999999993E-3</v>
      </c>
      <c r="I35" s="139" t="s">
        <v>175</v>
      </c>
      <c r="J35" s="146"/>
      <c r="K35" s="139">
        <v>108</v>
      </c>
      <c r="L35" s="146">
        <v>11.5</v>
      </c>
      <c r="M35" s="139">
        <v>8.9999999999999993E-3</v>
      </c>
      <c r="N35" s="139" t="s">
        <v>175</v>
      </c>
      <c r="O35" s="139"/>
      <c r="P35" s="142">
        <v>2027</v>
      </c>
      <c r="Q35" s="139" t="s">
        <v>383</v>
      </c>
      <c r="R35" s="139">
        <v>102.533</v>
      </c>
      <c r="S35" s="146">
        <v>4.4400000000000004</v>
      </c>
      <c r="T35" s="139">
        <f>R35-S35</f>
        <v>98.093000000000004</v>
      </c>
      <c r="U35" s="139"/>
      <c r="V35" s="139"/>
      <c r="W35" s="139"/>
      <c r="X35" s="139"/>
      <c r="Y35" s="139"/>
      <c r="Z35" s="139">
        <f>R35</f>
        <v>102.533</v>
      </c>
      <c r="AA35" s="139"/>
      <c r="AB35" s="139"/>
      <c r="AC35" s="139"/>
      <c r="AD35" s="139"/>
      <c r="AE35" s="139"/>
      <c r="AF35" s="144"/>
      <c r="AG35" s="144"/>
      <c r="AH35" s="138"/>
      <c r="AI35" s="138"/>
      <c r="AJ35" s="138"/>
      <c r="AK35" s="138"/>
      <c r="AL35" s="136">
        <f>W35</f>
        <v>0</v>
      </c>
      <c r="AM35" s="231">
        <f>Z35</f>
        <v>102.533</v>
      </c>
      <c r="AN35" s="138"/>
      <c r="AO35" s="138"/>
    </row>
    <row r="36" spans="1:41" ht="127.5" customHeight="1" x14ac:dyDescent="0.3">
      <c r="A36" s="144" t="s">
        <v>129</v>
      </c>
      <c r="B36" s="165" t="s">
        <v>152</v>
      </c>
      <c r="C36" s="145" t="s">
        <v>163</v>
      </c>
      <c r="D36" s="144" t="s">
        <v>132</v>
      </c>
      <c r="E36" s="165" t="s">
        <v>165</v>
      </c>
      <c r="F36" s="139">
        <v>108</v>
      </c>
      <c r="G36" s="146">
        <v>10.94</v>
      </c>
      <c r="H36" s="139">
        <v>0.1552</v>
      </c>
      <c r="I36" s="139" t="s">
        <v>175</v>
      </c>
      <c r="J36" s="146"/>
      <c r="K36" s="139">
        <v>108</v>
      </c>
      <c r="L36" s="146">
        <v>10.94</v>
      </c>
      <c r="M36" s="139">
        <v>0.1552</v>
      </c>
      <c r="N36" s="139" t="s">
        <v>175</v>
      </c>
      <c r="O36" s="139"/>
      <c r="P36" s="142">
        <v>2027</v>
      </c>
      <c r="Q36" s="139" t="s">
        <v>383</v>
      </c>
      <c r="R36" s="139">
        <v>1768.15</v>
      </c>
      <c r="S36" s="146">
        <v>76.561000000000007</v>
      </c>
      <c r="T36" s="139">
        <f>R36-S36</f>
        <v>1691.5890000000002</v>
      </c>
      <c r="U36" s="139"/>
      <c r="V36" s="139"/>
      <c r="W36" s="139"/>
      <c r="X36" s="139"/>
      <c r="Y36" s="139"/>
      <c r="Z36" s="139">
        <f t="shared" ref="Z36:Z46" si="0">R36</f>
        <v>1768.15</v>
      </c>
      <c r="AA36" s="139"/>
      <c r="AB36" s="139"/>
      <c r="AC36" s="139"/>
      <c r="AD36" s="139"/>
      <c r="AE36" s="139"/>
      <c r="AF36" s="144"/>
      <c r="AG36" s="144"/>
      <c r="AH36" s="138"/>
      <c r="AI36" s="138"/>
      <c r="AJ36" s="138"/>
      <c r="AK36" s="138"/>
      <c r="AL36" s="136">
        <f t="shared" ref="AL36:AL37" si="1">W36</f>
        <v>0</v>
      </c>
      <c r="AM36" s="231">
        <f t="shared" ref="AM36:AM46" si="2">Z36</f>
        <v>1768.15</v>
      </c>
      <c r="AN36" s="138"/>
      <c r="AO36" s="138"/>
    </row>
    <row r="37" spans="1:41" ht="127.5" customHeight="1" x14ac:dyDescent="0.3">
      <c r="A37" s="144" t="s">
        <v>179</v>
      </c>
      <c r="B37" s="165" t="s">
        <v>153</v>
      </c>
      <c r="C37" s="145" t="s">
        <v>177</v>
      </c>
      <c r="D37" s="144" t="s">
        <v>132</v>
      </c>
      <c r="E37" s="165" t="s">
        <v>166</v>
      </c>
      <c r="F37" s="139">
        <v>108</v>
      </c>
      <c r="G37" s="146">
        <v>10.93</v>
      </c>
      <c r="H37" s="139">
        <v>0.12</v>
      </c>
      <c r="I37" s="139" t="s">
        <v>175</v>
      </c>
      <c r="J37" s="146"/>
      <c r="K37" s="139">
        <v>108</v>
      </c>
      <c r="L37" s="146">
        <v>10.93</v>
      </c>
      <c r="M37" s="139">
        <v>0.12</v>
      </c>
      <c r="N37" s="139" t="s">
        <v>175</v>
      </c>
      <c r="O37" s="139"/>
      <c r="P37" s="142">
        <v>2027</v>
      </c>
      <c r="Q37" s="139" t="s">
        <v>383</v>
      </c>
      <c r="R37" s="139">
        <v>1367.125</v>
      </c>
      <c r="S37" s="146">
        <v>59.197000000000003</v>
      </c>
      <c r="T37" s="139">
        <f t="shared" ref="T37:T48" si="3">R37-S37</f>
        <v>1307.9279999999999</v>
      </c>
      <c r="U37" s="139"/>
      <c r="V37" s="139"/>
      <c r="W37" s="139"/>
      <c r="X37" s="139"/>
      <c r="Y37" s="139"/>
      <c r="Z37" s="139">
        <f t="shared" si="0"/>
        <v>1367.125</v>
      </c>
      <c r="AA37" s="139"/>
      <c r="AB37" s="139"/>
      <c r="AC37" s="139"/>
      <c r="AD37" s="139"/>
      <c r="AE37" s="139"/>
      <c r="AF37" s="144"/>
      <c r="AG37" s="144"/>
      <c r="AH37" s="138"/>
      <c r="AI37" s="138"/>
      <c r="AJ37" s="138"/>
      <c r="AK37" s="138"/>
      <c r="AL37" s="136">
        <f t="shared" si="1"/>
        <v>0</v>
      </c>
      <c r="AM37" s="231">
        <f t="shared" si="2"/>
        <v>1367.125</v>
      </c>
      <c r="AN37" s="138"/>
      <c r="AO37" s="138"/>
    </row>
    <row r="38" spans="1:41" ht="138.75" customHeight="1" x14ac:dyDescent="0.3">
      <c r="A38" s="144" t="s">
        <v>180</v>
      </c>
      <c r="B38" s="165" t="s">
        <v>154</v>
      </c>
      <c r="C38" s="145" t="s">
        <v>177</v>
      </c>
      <c r="D38" s="144" t="s">
        <v>132</v>
      </c>
      <c r="E38" s="165" t="s">
        <v>167</v>
      </c>
      <c r="F38" s="139">
        <v>108</v>
      </c>
      <c r="G38" s="146">
        <v>10.93</v>
      </c>
      <c r="H38" s="139">
        <v>3.44E-2</v>
      </c>
      <c r="I38" s="139" t="s">
        <v>175</v>
      </c>
      <c r="J38" s="146"/>
      <c r="K38" s="139">
        <v>108</v>
      </c>
      <c r="L38" s="146">
        <v>34243</v>
      </c>
      <c r="M38" s="139">
        <v>3.44E-2</v>
      </c>
      <c r="N38" s="139" t="s">
        <v>175</v>
      </c>
      <c r="O38" s="139"/>
      <c r="P38" s="142">
        <v>2027</v>
      </c>
      <c r="Q38" s="139" t="s">
        <v>383</v>
      </c>
      <c r="R38" s="139">
        <v>391.90800000000002</v>
      </c>
      <c r="S38" s="146">
        <v>16.97</v>
      </c>
      <c r="T38" s="139">
        <f t="shared" si="3"/>
        <v>374.93799999999999</v>
      </c>
      <c r="U38" s="139"/>
      <c r="V38" s="139"/>
      <c r="W38" s="139"/>
      <c r="X38" s="139"/>
      <c r="Y38" s="139"/>
      <c r="Z38" s="139">
        <f t="shared" si="0"/>
        <v>391.90800000000002</v>
      </c>
      <c r="AA38" s="139"/>
      <c r="AB38" s="139"/>
      <c r="AC38" s="139"/>
      <c r="AD38" s="139"/>
      <c r="AE38" s="139"/>
      <c r="AF38" s="144"/>
      <c r="AG38" s="144"/>
      <c r="AH38" s="138"/>
      <c r="AI38" s="138"/>
      <c r="AJ38" s="138"/>
      <c r="AK38" s="138"/>
      <c r="AL38" s="136">
        <f>X38</f>
        <v>0</v>
      </c>
      <c r="AM38" s="231">
        <f t="shared" si="2"/>
        <v>391.90800000000002</v>
      </c>
      <c r="AN38" s="138"/>
      <c r="AO38" s="138"/>
    </row>
    <row r="39" spans="1:41" ht="127.5" customHeight="1" x14ac:dyDescent="0.3">
      <c r="A39" s="144" t="s">
        <v>181</v>
      </c>
      <c r="B39" s="165" t="s">
        <v>155</v>
      </c>
      <c r="C39" s="145" t="s">
        <v>177</v>
      </c>
      <c r="D39" s="147" t="s">
        <v>132</v>
      </c>
      <c r="E39" s="165" t="s">
        <v>168</v>
      </c>
      <c r="F39" s="139">
        <v>108</v>
      </c>
      <c r="G39" s="146">
        <v>10.92</v>
      </c>
      <c r="H39" s="139">
        <v>6.2E-2</v>
      </c>
      <c r="I39" s="139" t="s">
        <v>175</v>
      </c>
      <c r="J39" s="146"/>
      <c r="K39" s="139">
        <v>108</v>
      </c>
      <c r="L39" s="146">
        <v>10.92</v>
      </c>
      <c r="M39" s="139">
        <v>6.2E-2</v>
      </c>
      <c r="N39" s="139" t="s">
        <v>175</v>
      </c>
      <c r="O39" s="139"/>
      <c r="P39" s="142">
        <v>2027</v>
      </c>
      <c r="Q39" s="139" t="s">
        <v>383</v>
      </c>
      <c r="R39" s="139">
        <v>706.35</v>
      </c>
      <c r="S39" s="148">
        <v>30.585000000000001</v>
      </c>
      <c r="T39" s="139">
        <f t="shared" si="3"/>
        <v>675.76499999999999</v>
      </c>
      <c r="U39" s="149"/>
      <c r="V39" s="149"/>
      <c r="W39" s="149"/>
      <c r="X39" s="149"/>
      <c r="Y39" s="149"/>
      <c r="Z39" s="139">
        <f>R39</f>
        <v>706.35</v>
      </c>
      <c r="AA39" s="149"/>
      <c r="AB39" s="149"/>
      <c r="AC39" s="149"/>
      <c r="AD39" s="149"/>
      <c r="AE39" s="149"/>
      <c r="AF39" s="149"/>
      <c r="AG39" s="149"/>
      <c r="AH39" s="150"/>
      <c r="AI39" s="150"/>
      <c r="AJ39" s="150"/>
      <c r="AK39" s="150"/>
      <c r="AL39" s="232">
        <f t="shared" ref="AL39" si="4">X39</f>
        <v>0</v>
      </c>
      <c r="AM39" s="231">
        <f t="shared" si="2"/>
        <v>706.35</v>
      </c>
      <c r="AN39" s="150"/>
      <c r="AO39" s="150"/>
    </row>
    <row r="40" spans="1:41" ht="143.25" customHeight="1" x14ac:dyDescent="0.3">
      <c r="A40" s="144" t="s">
        <v>182</v>
      </c>
      <c r="B40" s="165" t="s">
        <v>156</v>
      </c>
      <c r="C40" s="145" t="s">
        <v>177</v>
      </c>
      <c r="D40" s="139" t="s">
        <v>132</v>
      </c>
      <c r="E40" s="165" t="s">
        <v>169</v>
      </c>
      <c r="F40" s="139">
        <v>57</v>
      </c>
      <c r="G40" s="146">
        <v>0.72</v>
      </c>
      <c r="H40" s="139">
        <v>2.1999999999999999E-2</v>
      </c>
      <c r="I40" s="139" t="s">
        <v>175</v>
      </c>
      <c r="J40" s="146"/>
      <c r="K40" s="139">
        <v>57</v>
      </c>
      <c r="L40" s="146">
        <v>0.72</v>
      </c>
      <c r="M40" s="139">
        <v>2.1999999999999999E-2</v>
      </c>
      <c r="N40" s="139" t="s">
        <v>175</v>
      </c>
      <c r="O40" s="139"/>
      <c r="P40" s="142">
        <v>2027</v>
      </c>
      <c r="Q40" s="139" t="s">
        <v>383</v>
      </c>
      <c r="R40" s="139">
        <v>157.94846999999999</v>
      </c>
      <c r="S40" s="151"/>
      <c r="T40" s="139">
        <f t="shared" si="3"/>
        <v>157.94846999999999</v>
      </c>
      <c r="U40" s="147"/>
      <c r="V40" s="147"/>
      <c r="W40" s="147"/>
      <c r="X40" s="149"/>
      <c r="Y40" s="147"/>
      <c r="Z40" s="139">
        <f t="shared" si="0"/>
        <v>157.94846999999999</v>
      </c>
      <c r="AA40" s="147"/>
      <c r="AB40" s="147"/>
      <c r="AC40" s="147"/>
      <c r="AD40" s="147"/>
      <c r="AE40" s="147"/>
      <c r="AF40" s="147"/>
      <c r="AG40" s="147"/>
      <c r="AH40" s="152"/>
      <c r="AI40" s="152"/>
      <c r="AJ40" s="152"/>
      <c r="AK40" s="152"/>
      <c r="AL40" s="150">
        <f>X40</f>
        <v>0</v>
      </c>
      <c r="AM40" s="231">
        <f t="shared" si="2"/>
        <v>157.94846999999999</v>
      </c>
      <c r="AN40" s="152"/>
      <c r="AO40" s="152"/>
    </row>
    <row r="41" spans="1:41" ht="127.5" customHeight="1" x14ac:dyDescent="0.3">
      <c r="A41" s="144" t="s">
        <v>183</v>
      </c>
      <c r="B41" s="165" t="s">
        <v>157</v>
      </c>
      <c r="C41" s="145" t="s">
        <v>177</v>
      </c>
      <c r="D41" s="139" t="s">
        <v>132</v>
      </c>
      <c r="E41" s="165" t="s">
        <v>170</v>
      </c>
      <c r="F41" s="139">
        <v>108</v>
      </c>
      <c r="G41" s="146">
        <v>10.199999999999999</v>
      </c>
      <c r="H41" s="139">
        <v>9.4E-2</v>
      </c>
      <c r="I41" s="139" t="s">
        <v>175</v>
      </c>
      <c r="J41" s="146"/>
      <c r="K41" s="139">
        <v>108</v>
      </c>
      <c r="L41" s="146">
        <v>10.199999999999999</v>
      </c>
      <c r="M41" s="139">
        <v>9.4E-2</v>
      </c>
      <c r="N41" s="139" t="s">
        <v>175</v>
      </c>
      <c r="O41" s="139"/>
      <c r="P41" s="142">
        <v>2027</v>
      </c>
      <c r="Q41" s="139" t="s">
        <v>383</v>
      </c>
      <c r="R41" s="139">
        <v>1070.9169999999999</v>
      </c>
      <c r="S41" s="145">
        <v>46.371000000000002</v>
      </c>
      <c r="T41" s="139">
        <f t="shared" si="3"/>
        <v>1024.5459999999998</v>
      </c>
      <c r="U41" s="144"/>
      <c r="V41" s="144"/>
      <c r="W41" s="144"/>
      <c r="X41" s="144"/>
      <c r="Y41" s="144"/>
      <c r="Z41" s="139">
        <f t="shared" si="0"/>
        <v>1070.9169999999999</v>
      </c>
      <c r="AA41" s="144"/>
      <c r="AB41" s="144"/>
      <c r="AC41" s="144"/>
      <c r="AD41" s="144"/>
      <c r="AE41" s="139"/>
      <c r="AF41" s="139"/>
      <c r="AG41" s="144"/>
      <c r="AH41" s="138"/>
      <c r="AI41" s="138"/>
      <c r="AJ41" s="138"/>
      <c r="AK41" s="138"/>
      <c r="AL41" s="230">
        <f>Y41</f>
        <v>0</v>
      </c>
      <c r="AM41" s="231">
        <f t="shared" si="2"/>
        <v>1070.9169999999999</v>
      </c>
      <c r="AN41" s="138"/>
      <c r="AO41" s="138"/>
    </row>
    <row r="42" spans="1:41" ht="127.5" customHeight="1" x14ac:dyDescent="0.3">
      <c r="A42" s="144" t="s">
        <v>184</v>
      </c>
      <c r="B42" s="165" t="s">
        <v>158</v>
      </c>
      <c r="C42" s="145" t="s">
        <v>177</v>
      </c>
      <c r="D42" s="139" t="s">
        <v>132</v>
      </c>
      <c r="E42" s="165" t="s">
        <v>171</v>
      </c>
      <c r="F42" s="139">
        <v>108</v>
      </c>
      <c r="G42" s="146">
        <v>10.92</v>
      </c>
      <c r="H42" s="139">
        <v>0.08</v>
      </c>
      <c r="I42" s="139" t="s">
        <v>175</v>
      </c>
      <c r="J42" s="146"/>
      <c r="K42" s="139">
        <v>108</v>
      </c>
      <c r="L42" s="146">
        <v>10.92</v>
      </c>
      <c r="M42" s="139">
        <v>0.08</v>
      </c>
      <c r="N42" s="139" t="s">
        <v>175</v>
      </c>
      <c r="O42" s="139"/>
      <c r="P42" s="142">
        <v>2027</v>
      </c>
      <c r="Q42" s="139" t="s">
        <v>383</v>
      </c>
      <c r="R42" s="139">
        <v>911.41700000000003</v>
      </c>
      <c r="S42" s="145">
        <v>39.463999999999999</v>
      </c>
      <c r="T42" s="139">
        <f t="shared" si="3"/>
        <v>871.95299999999997</v>
      </c>
      <c r="U42" s="144"/>
      <c r="V42" s="144"/>
      <c r="W42" s="144"/>
      <c r="X42" s="144"/>
      <c r="Y42" s="144"/>
      <c r="Z42" s="139">
        <f>R42</f>
        <v>911.41700000000003</v>
      </c>
      <c r="AA42" s="144"/>
      <c r="AB42" s="144"/>
      <c r="AC42" s="144"/>
      <c r="AD42" s="144"/>
      <c r="AE42" s="139"/>
      <c r="AF42" s="139"/>
      <c r="AG42" s="144"/>
      <c r="AH42" s="138"/>
      <c r="AI42" s="138"/>
      <c r="AJ42" s="138"/>
      <c r="AK42" s="138"/>
      <c r="AL42" s="230">
        <f t="shared" ref="AL42:AL43" si="5">Y42</f>
        <v>0</v>
      </c>
      <c r="AM42" s="231">
        <f t="shared" si="2"/>
        <v>911.41700000000003</v>
      </c>
      <c r="AN42" s="138"/>
      <c r="AO42" s="138"/>
    </row>
    <row r="43" spans="1:41" ht="127.5" customHeight="1" x14ac:dyDescent="0.3">
      <c r="A43" s="144" t="s">
        <v>185</v>
      </c>
      <c r="B43" s="165" t="s">
        <v>159</v>
      </c>
      <c r="C43" s="145" t="s">
        <v>177</v>
      </c>
      <c r="D43" s="139" t="s">
        <v>132</v>
      </c>
      <c r="E43" s="165" t="s">
        <v>159</v>
      </c>
      <c r="F43" s="139">
        <v>89</v>
      </c>
      <c r="G43" s="146">
        <v>10.92</v>
      </c>
      <c r="H43" s="139">
        <v>1.4E-2</v>
      </c>
      <c r="I43" s="139" t="s">
        <v>175</v>
      </c>
      <c r="J43" s="146"/>
      <c r="K43" s="139">
        <v>89</v>
      </c>
      <c r="L43" s="146">
        <v>10.92</v>
      </c>
      <c r="M43" s="139">
        <v>1.4E-2</v>
      </c>
      <c r="N43" s="139" t="s">
        <v>175</v>
      </c>
      <c r="O43" s="139"/>
      <c r="P43" s="142">
        <v>2027</v>
      </c>
      <c r="Q43" s="139" t="s">
        <v>383</v>
      </c>
      <c r="R43" s="139">
        <v>155.03299999999999</v>
      </c>
      <c r="S43" s="145">
        <v>6.8520000000000003</v>
      </c>
      <c r="T43" s="139">
        <f t="shared" si="3"/>
        <v>148.18099999999998</v>
      </c>
      <c r="U43" s="144"/>
      <c r="V43" s="144"/>
      <c r="W43" s="144"/>
      <c r="X43" s="144"/>
      <c r="Y43" s="144"/>
      <c r="Z43" s="139">
        <f t="shared" si="0"/>
        <v>155.03299999999999</v>
      </c>
      <c r="AA43" s="144"/>
      <c r="AB43" s="144"/>
      <c r="AC43" s="144"/>
      <c r="AD43" s="144"/>
      <c r="AE43" s="139"/>
      <c r="AF43" s="139"/>
      <c r="AG43" s="144"/>
      <c r="AH43" s="138"/>
      <c r="AI43" s="138"/>
      <c r="AJ43" s="138"/>
      <c r="AK43" s="138"/>
      <c r="AL43" s="230">
        <f t="shared" si="5"/>
        <v>0</v>
      </c>
      <c r="AM43" s="231">
        <f t="shared" si="2"/>
        <v>155.03299999999999</v>
      </c>
      <c r="AN43" s="138"/>
      <c r="AO43" s="138"/>
    </row>
    <row r="44" spans="1:41" ht="127.5" customHeight="1" x14ac:dyDescent="0.3">
      <c r="A44" s="144" t="s">
        <v>186</v>
      </c>
      <c r="B44" s="165" t="s">
        <v>160</v>
      </c>
      <c r="C44" s="145" t="s">
        <v>177</v>
      </c>
      <c r="D44" s="139"/>
      <c r="E44" s="165" t="s">
        <v>172</v>
      </c>
      <c r="F44" s="139">
        <v>108</v>
      </c>
      <c r="G44" s="146">
        <v>10.199999999999999</v>
      </c>
      <c r="H44" s="139">
        <v>2.9000000000000001E-2</v>
      </c>
      <c r="I44" s="139" t="s">
        <v>175</v>
      </c>
      <c r="J44" s="146"/>
      <c r="K44" s="139">
        <v>108</v>
      </c>
      <c r="L44" s="146">
        <v>10.199999999999999</v>
      </c>
      <c r="M44" s="139">
        <v>2.9000000000000001E-2</v>
      </c>
      <c r="N44" s="139" t="s">
        <v>175</v>
      </c>
      <c r="O44" s="139"/>
      <c r="P44" s="142">
        <v>2027</v>
      </c>
      <c r="Q44" s="139" t="s">
        <v>383</v>
      </c>
      <c r="R44" s="139">
        <v>330.392</v>
      </c>
      <c r="S44" s="145">
        <v>14.305999999999999</v>
      </c>
      <c r="T44" s="139">
        <f t="shared" si="3"/>
        <v>316.08600000000001</v>
      </c>
      <c r="U44" s="144"/>
      <c r="V44" s="144"/>
      <c r="W44" s="144"/>
      <c r="X44" s="144"/>
      <c r="Y44" s="144"/>
      <c r="Z44" s="139">
        <f t="shared" si="0"/>
        <v>330.392</v>
      </c>
      <c r="AA44" s="144"/>
      <c r="AB44" s="144"/>
      <c r="AC44" s="144"/>
      <c r="AD44" s="144"/>
      <c r="AE44" s="139"/>
      <c r="AF44" s="139"/>
      <c r="AG44" s="144"/>
      <c r="AH44" s="138"/>
      <c r="AI44" s="138"/>
      <c r="AJ44" s="138"/>
      <c r="AK44" s="138"/>
      <c r="AL44" s="230"/>
      <c r="AM44" s="231">
        <f t="shared" si="2"/>
        <v>330.392</v>
      </c>
      <c r="AN44" s="138"/>
      <c r="AO44" s="138"/>
    </row>
    <row r="45" spans="1:41" ht="127.5" customHeight="1" x14ac:dyDescent="0.3">
      <c r="A45" s="144" t="s">
        <v>187</v>
      </c>
      <c r="B45" s="165" t="s">
        <v>161</v>
      </c>
      <c r="C45" s="145" t="s">
        <v>177</v>
      </c>
      <c r="D45" s="139"/>
      <c r="E45" s="165" t="s">
        <v>173</v>
      </c>
      <c r="F45" s="139">
        <v>108</v>
      </c>
      <c r="G45" s="146">
        <v>10.199999999999999</v>
      </c>
      <c r="H45" s="139">
        <v>0.03</v>
      </c>
      <c r="I45" s="139" t="s">
        <v>175</v>
      </c>
      <c r="J45" s="146"/>
      <c r="K45" s="139">
        <v>108</v>
      </c>
      <c r="L45" s="146">
        <v>10.199999999999999</v>
      </c>
      <c r="M45" s="139">
        <v>0.03</v>
      </c>
      <c r="N45" s="139" t="s">
        <v>175</v>
      </c>
      <c r="O45" s="139"/>
      <c r="P45" s="142">
        <v>2027</v>
      </c>
      <c r="Q45" s="139" t="s">
        <v>383</v>
      </c>
      <c r="R45" s="139">
        <v>341.78300000000002</v>
      </c>
      <c r="S45" s="145">
        <v>14.798999999999999</v>
      </c>
      <c r="T45" s="139">
        <f t="shared" si="3"/>
        <v>326.98400000000004</v>
      </c>
      <c r="U45" s="144"/>
      <c r="V45" s="144"/>
      <c r="W45" s="144"/>
      <c r="X45" s="144"/>
      <c r="Y45" s="144"/>
      <c r="Z45" s="139">
        <f>R45</f>
        <v>341.78300000000002</v>
      </c>
      <c r="AA45" s="144"/>
      <c r="AB45" s="144"/>
      <c r="AC45" s="144"/>
      <c r="AD45" s="144"/>
      <c r="AE45" s="139"/>
      <c r="AF45" s="139"/>
      <c r="AG45" s="144"/>
      <c r="AH45" s="138"/>
      <c r="AI45" s="138"/>
      <c r="AJ45" s="138"/>
      <c r="AK45" s="138"/>
      <c r="AL45" s="230"/>
      <c r="AM45" s="231">
        <f t="shared" si="2"/>
        <v>341.78300000000002</v>
      </c>
      <c r="AN45" s="138"/>
      <c r="AO45" s="138"/>
    </row>
    <row r="46" spans="1:41" ht="127.5" customHeight="1" x14ac:dyDescent="0.3">
      <c r="A46" s="144" t="s">
        <v>188</v>
      </c>
      <c r="B46" s="165" t="s">
        <v>162</v>
      </c>
      <c r="C46" s="145" t="s">
        <v>177</v>
      </c>
      <c r="D46" s="139" t="s">
        <v>132</v>
      </c>
      <c r="E46" s="165" t="s">
        <v>174</v>
      </c>
      <c r="F46" s="139">
        <v>108</v>
      </c>
      <c r="G46" s="146">
        <v>10.199999999999999</v>
      </c>
      <c r="H46" s="139">
        <v>2.3400000000000001E-2</v>
      </c>
      <c r="I46" s="139" t="s">
        <v>176</v>
      </c>
      <c r="J46" s="146"/>
      <c r="K46" s="139">
        <v>108</v>
      </c>
      <c r="L46" s="146">
        <v>10.199999999999999</v>
      </c>
      <c r="M46" s="139">
        <v>2.3400000000000001E-2</v>
      </c>
      <c r="N46" s="139" t="s">
        <v>176</v>
      </c>
      <c r="O46" s="139"/>
      <c r="P46" s="142">
        <v>2027</v>
      </c>
      <c r="Q46" s="139" t="s">
        <v>383</v>
      </c>
      <c r="R46" s="139">
        <v>458.2</v>
      </c>
      <c r="S46" s="145">
        <v>22.635000000000002</v>
      </c>
      <c r="T46" s="139">
        <f t="shared" si="3"/>
        <v>435.565</v>
      </c>
      <c r="U46" s="144"/>
      <c r="V46" s="144"/>
      <c r="W46" s="144"/>
      <c r="X46" s="144"/>
      <c r="Y46" s="144"/>
      <c r="Z46" s="139">
        <f t="shared" si="0"/>
        <v>458.2</v>
      </c>
      <c r="AA46" s="144"/>
      <c r="AB46" s="144"/>
      <c r="AC46" s="144"/>
      <c r="AD46" s="144"/>
      <c r="AE46" s="139"/>
      <c r="AF46" s="139"/>
      <c r="AG46" s="144"/>
      <c r="AH46" s="138"/>
      <c r="AI46" s="138"/>
      <c r="AJ46" s="138"/>
      <c r="AK46" s="138"/>
      <c r="AL46" s="230">
        <f t="shared" ref="AL46" si="6">Y46</f>
        <v>0</v>
      </c>
      <c r="AM46" s="231">
        <f t="shared" si="2"/>
        <v>458.2</v>
      </c>
      <c r="AN46" s="138"/>
      <c r="AO46" s="138"/>
    </row>
    <row r="47" spans="1:41" ht="32.25" customHeight="1" x14ac:dyDescent="0.3">
      <c r="A47" s="248" t="s">
        <v>130</v>
      </c>
      <c r="B47" s="249"/>
      <c r="C47" s="249"/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153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45"/>
      <c r="AE47" s="149"/>
      <c r="AF47" s="149"/>
      <c r="AG47" s="147"/>
      <c r="AH47" s="152"/>
      <c r="AI47" s="152"/>
      <c r="AJ47" s="152"/>
      <c r="AK47" s="152"/>
      <c r="AL47" s="150"/>
      <c r="AM47" s="233"/>
      <c r="AN47" s="152"/>
      <c r="AO47" s="152"/>
    </row>
    <row r="48" spans="1:41" ht="127.5" customHeight="1" x14ac:dyDescent="0.3">
      <c r="A48" s="144" t="s">
        <v>131</v>
      </c>
      <c r="B48" s="165" t="s">
        <v>189</v>
      </c>
      <c r="C48" s="145" t="s">
        <v>190</v>
      </c>
      <c r="D48" s="144"/>
      <c r="E48" s="145" t="s">
        <v>191</v>
      </c>
      <c r="F48" s="139"/>
      <c r="G48" s="146"/>
      <c r="H48" s="139"/>
      <c r="I48" s="139"/>
      <c r="J48" s="146">
        <v>0.28699999999999998</v>
      </c>
      <c r="K48" s="139"/>
      <c r="L48" s="146"/>
      <c r="M48" s="139"/>
      <c r="N48" s="139"/>
      <c r="O48" s="139">
        <v>0.28699999999999998</v>
      </c>
      <c r="P48" s="142">
        <v>2029</v>
      </c>
      <c r="Q48" s="139" t="s">
        <v>384</v>
      </c>
      <c r="R48" s="139">
        <v>3109.2460000000001</v>
      </c>
      <c r="S48" s="146"/>
      <c r="T48" s="139">
        <f t="shared" si="3"/>
        <v>3109.2460000000001</v>
      </c>
      <c r="U48" s="139"/>
      <c r="V48" s="139"/>
      <c r="W48" s="139"/>
      <c r="X48" s="139"/>
      <c r="Y48" s="139"/>
      <c r="Z48" s="139"/>
      <c r="AA48" s="139"/>
      <c r="AB48" s="139">
        <f>R48</f>
        <v>3109.2460000000001</v>
      </c>
      <c r="AC48" s="139"/>
      <c r="AD48" s="139"/>
      <c r="AE48" s="139"/>
      <c r="AF48" s="144"/>
      <c r="AG48" s="144"/>
      <c r="AH48" s="138"/>
      <c r="AI48" s="138"/>
      <c r="AJ48" s="138"/>
      <c r="AK48" s="138"/>
      <c r="AL48" s="136">
        <f>W48</f>
        <v>0</v>
      </c>
      <c r="AM48" s="231">
        <f>AB48</f>
        <v>3109.2460000000001</v>
      </c>
      <c r="AN48" s="138"/>
      <c r="AO48" s="138"/>
    </row>
    <row r="49" spans="1:41" ht="18.75" customHeight="1" x14ac:dyDescent="0.3">
      <c r="A49" s="248" t="s">
        <v>133</v>
      </c>
      <c r="B49" s="250"/>
      <c r="C49" s="154"/>
      <c r="D49" s="144"/>
      <c r="E49" s="144"/>
      <c r="F49" s="155"/>
      <c r="G49" s="139"/>
      <c r="H49" s="155"/>
      <c r="I49" s="155"/>
      <c r="J49" s="139"/>
      <c r="K49" s="139"/>
      <c r="L49" s="139"/>
      <c r="M49" s="139"/>
      <c r="N49" s="139"/>
      <c r="O49" s="139"/>
      <c r="P49" s="155"/>
      <c r="Q49" s="155"/>
      <c r="R49" s="155">
        <f>SUM(R35:R46)+R48</f>
        <v>10871.002469999999</v>
      </c>
      <c r="S49" s="155">
        <f>SUM(S35:S46)+S48</f>
        <v>332.17999999999995</v>
      </c>
      <c r="T49" s="155">
        <f t="shared" ref="T49:AO49" si="7">SUM(T35:T46)+T48</f>
        <v>10538.822469999999</v>
      </c>
      <c r="U49" s="155">
        <f t="shared" si="7"/>
        <v>0</v>
      </c>
      <c r="V49" s="155">
        <f t="shared" si="7"/>
        <v>0</v>
      </c>
      <c r="W49" s="155">
        <f t="shared" si="7"/>
        <v>0</v>
      </c>
      <c r="X49" s="155">
        <f t="shared" si="7"/>
        <v>0</v>
      </c>
      <c r="Y49" s="155">
        <f t="shared" si="7"/>
        <v>0</v>
      </c>
      <c r="Z49" s="155">
        <f t="shared" si="7"/>
        <v>7761.7564700000003</v>
      </c>
      <c r="AA49" s="155">
        <f t="shared" si="7"/>
        <v>0</v>
      </c>
      <c r="AB49" s="155">
        <f t="shared" si="7"/>
        <v>3109.2460000000001</v>
      </c>
      <c r="AC49" s="155">
        <f t="shared" si="7"/>
        <v>0</v>
      </c>
      <c r="AD49" s="155">
        <f t="shared" si="7"/>
        <v>0</v>
      </c>
      <c r="AE49" s="155">
        <f t="shared" si="7"/>
        <v>0</v>
      </c>
      <c r="AF49" s="155">
        <f t="shared" si="7"/>
        <v>0</v>
      </c>
      <c r="AG49" s="155">
        <f t="shared" si="7"/>
        <v>0</v>
      </c>
      <c r="AH49" s="156">
        <f t="shared" si="7"/>
        <v>0</v>
      </c>
      <c r="AI49" s="156">
        <f t="shared" si="7"/>
        <v>0</v>
      </c>
      <c r="AJ49" s="156">
        <f t="shared" si="7"/>
        <v>0</v>
      </c>
      <c r="AK49" s="156">
        <f t="shared" si="7"/>
        <v>0</v>
      </c>
      <c r="AL49" s="156">
        <f t="shared" si="7"/>
        <v>0</v>
      </c>
      <c r="AM49" s="155">
        <f t="shared" si="7"/>
        <v>10871.002469999999</v>
      </c>
      <c r="AN49" s="156">
        <f t="shared" si="7"/>
        <v>0</v>
      </c>
      <c r="AO49" s="156">
        <f t="shared" si="7"/>
        <v>0</v>
      </c>
    </row>
    <row r="50" spans="1:41" ht="43.5" customHeight="1" x14ac:dyDescent="0.3">
      <c r="A50" s="241" t="s">
        <v>134</v>
      </c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2"/>
      <c r="R50" s="157"/>
      <c r="S50" s="157"/>
      <c r="T50" s="157"/>
      <c r="U50" s="157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  <c r="AL50" s="234"/>
      <c r="AM50" s="234"/>
      <c r="AN50" s="157"/>
      <c r="AO50" s="157"/>
    </row>
    <row r="51" spans="1:41" x14ac:dyDescent="0.3">
      <c r="A51" s="136" t="s">
        <v>5</v>
      </c>
      <c r="B51" s="138"/>
      <c r="C51" s="138"/>
      <c r="D51" s="138"/>
      <c r="E51" s="138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2"/>
      <c r="Q51" s="142"/>
      <c r="R51" s="139"/>
      <c r="S51" s="139"/>
      <c r="T51" s="139"/>
      <c r="U51" s="139"/>
      <c r="V51" s="139"/>
      <c r="W51" s="139"/>
      <c r="X51" s="139"/>
      <c r="Y51" s="139"/>
      <c r="Z51" s="139"/>
      <c r="AA51" s="13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  <c r="AN51" s="139"/>
      <c r="AO51" s="139"/>
    </row>
    <row r="52" spans="1:41" x14ac:dyDescent="0.3">
      <c r="A52" s="136" t="s">
        <v>6</v>
      </c>
      <c r="B52" s="138"/>
      <c r="C52" s="138"/>
      <c r="D52" s="138"/>
      <c r="E52" s="138"/>
      <c r="F52" s="142"/>
      <c r="G52" s="142"/>
      <c r="H52" s="142"/>
      <c r="I52" s="142"/>
      <c r="J52" s="142"/>
      <c r="K52" s="142"/>
      <c r="L52" s="142"/>
      <c r="M52" s="142"/>
      <c r="N52" s="142"/>
      <c r="O52" s="142"/>
      <c r="P52" s="142"/>
      <c r="Q52" s="142"/>
      <c r="R52" s="139"/>
      <c r="S52" s="139"/>
      <c r="T52" s="139"/>
      <c r="U52" s="139"/>
      <c r="V52" s="139"/>
      <c r="W52" s="139"/>
      <c r="X52" s="139"/>
      <c r="Y52" s="139"/>
      <c r="Z52" s="139"/>
      <c r="AA52" s="139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  <c r="AN52" s="139"/>
      <c r="AO52" s="139"/>
    </row>
    <row r="53" spans="1:41" ht="18.75" customHeight="1" x14ac:dyDescent="0.3">
      <c r="A53" s="138" t="s">
        <v>135</v>
      </c>
      <c r="B53" s="138"/>
      <c r="C53" s="143"/>
      <c r="D53" s="138"/>
      <c r="E53" s="138"/>
      <c r="F53" s="142"/>
      <c r="G53" s="142"/>
      <c r="H53" s="142"/>
      <c r="I53" s="142"/>
      <c r="J53" s="142"/>
      <c r="K53" s="142"/>
      <c r="L53" s="142"/>
      <c r="M53" s="142"/>
      <c r="N53" s="142"/>
      <c r="O53" s="142"/>
      <c r="P53" s="142"/>
      <c r="Q53" s="142"/>
      <c r="R53" s="139"/>
      <c r="S53" s="139"/>
      <c r="T53" s="139"/>
      <c r="U53" s="139"/>
      <c r="V53" s="139"/>
      <c r="W53" s="139"/>
      <c r="X53" s="139"/>
      <c r="Y53" s="139"/>
      <c r="Z53" s="139"/>
      <c r="AA53" s="139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  <c r="AN53" s="139"/>
      <c r="AO53" s="139"/>
    </row>
    <row r="54" spans="1:41" ht="18.75" customHeight="1" x14ac:dyDescent="0.3">
      <c r="A54" s="241" t="s">
        <v>136</v>
      </c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2"/>
      <c r="R54" s="138"/>
      <c r="S54" s="138"/>
      <c r="T54" s="138"/>
      <c r="U54" s="138"/>
      <c r="V54" s="138"/>
      <c r="W54" s="138"/>
      <c r="X54" s="138"/>
      <c r="Y54" s="138"/>
      <c r="Z54" s="138"/>
      <c r="AA54" s="135"/>
      <c r="AB54" s="135"/>
      <c r="AC54" s="135"/>
      <c r="AD54" s="135"/>
      <c r="AE54" s="135"/>
      <c r="AF54" s="135"/>
      <c r="AG54" s="138"/>
      <c r="AH54" s="138"/>
      <c r="AI54" s="138"/>
      <c r="AJ54" s="138"/>
      <c r="AK54" s="138"/>
      <c r="AL54" s="230"/>
      <c r="AM54" s="230"/>
      <c r="AN54" s="138"/>
      <c r="AO54" s="138"/>
    </row>
    <row r="55" spans="1:41" ht="18.75" customHeight="1" x14ac:dyDescent="0.3">
      <c r="A55" s="158" t="s">
        <v>137</v>
      </c>
      <c r="B55" s="159"/>
      <c r="C55" s="159"/>
      <c r="D55" s="159"/>
      <c r="E55" s="159"/>
      <c r="F55" s="159"/>
      <c r="G55" s="159"/>
      <c r="H55" s="159"/>
      <c r="I55" s="159"/>
      <c r="J55" s="159"/>
      <c r="K55" s="159"/>
      <c r="L55" s="159"/>
      <c r="M55" s="160"/>
      <c r="N55" s="135"/>
      <c r="O55" s="135"/>
      <c r="P55" s="135"/>
      <c r="Q55" s="135"/>
      <c r="R55" s="139"/>
      <c r="S55" s="139"/>
      <c r="T55" s="139"/>
      <c r="U55" s="139"/>
      <c r="V55" s="139"/>
      <c r="W55" s="139"/>
      <c r="X55" s="139"/>
      <c r="Y55" s="139"/>
      <c r="Z55" s="139"/>
      <c r="AA55" s="139"/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  <c r="AN55" s="139"/>
      <c r="AO55" s="139"/>
    </row>
    <row r="56" spans="1:41" x14ac:dyDescent="0.3">
      <c r="A56" s="136" t="s">
        <v>138</v>
      </c>
      <c r="B56" s="138"/>
      <c r="C56" s="138"/>
      <c r="D56" s="138"/>
      <c r="E56" s="138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</row>
    <row r="57" spans="1:41" x14ac:dyDescent="0.3">
      <c r="A57" s="136" t="s">
        <v>139</v>
      </c>
      <c r="B57" s="138"/>
      <c r="C57" s="138"/>
      <c r="D57" s="138"/>
      <c r="E57" s="138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39"/>
      <c r="S57" s="139"/>
      <c r="T57" s="139"/>
      <c r="U57" s="139"/>
      <c r="V57" s="139"/>
      <c r="W57" s="139"/>
      <c r="X57" s="139"/>
      <c r="Y57" s="139"/>
      <c r="Z57" s="139"/>
      <c r="AA57" s="139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  <c r="AN57" s="139"/>
      <c r="AO57" s="139"/>
    </row>
    <row r="58" spans="1:41" ht="18.75" customHeight="1" x14ac:dyDescent="0.3">
      <c r="A58" s="241" t="s">
        <v>140</v>
      </c>
      <c r="B58" s="243"/>
      <c r="C58" s="243"/>
      <c r="D58" s="243"/>
      <c r="E58" s="243"/>
      <c r="F58" s="243"/>
      <c r="G58" s="243"/>
      <c r="H58" s="243"/>
      <c r="I58" s="243"/>
      <c r="J58" s="243"/>
      <c r="K58" s="242"/>
      <c r="L58" s="138"/>
      <c r="M58" s="138"/>
      <c r="N58" s="138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  <c r="AB58" s="138"/>
      <c r="AC58" s="138"/>
      <c r="AD58" s="138"/>
      <c r="AE58" s="138"/>
      <c r="AF58" s="135"/>
      <c r="AG58" s="138"/>
      <c r="AH58" s="138"/>
      <c r="AI58" s="138"/>
      <c r="AJ58" s="138"/>
      <c r="AK58" s="138"/>
      <c r="AL58" s="230"/>
      <c r="AM58" s="230"/>
      <c r="AN58" s="138"/>
      <c r="AO58" s="138"/>
    </row>
    <row r="59" spans="1:41" x14ac:dyDescent="0.3">
      <c r="A59" s="136" t="s">
        <v>141</v>
      </c>
      <c r="B59" s="138"/>
      <c r="C59" s="138"/>
      <c r="D59" s="138"/>
      <c r="E59" s="138"/>
      <c r="F59" s="142"/>
      <c r="G59" s="142"/>
      <c r="H59" s="142"/>
      <c r="I59" s="142"/>
      <c r="J59" s="142"/>
      <c r="K59" s="142"/>
      <c r="L59" s="142"/>
      <c r="M59" s="142"/>
      <c r="N59" s="142"/>
      <c r="O59" s="142"/>
      <c r="P59" s="142"/>
      <c r="Q59" s="142"/>
      <c r="R59" s="139"/>
      <c r="S59" s="139"/>
      <c r="T59" s="139"/>
      <c r="U59" s="139"/>
      <c r="V59" s="139"/>
      <c r="W59" s="139"/>
      <c r="X59" s="139"/>
      <c r="Y59" s="139"/>
      <c r="Z59" s="139"/>
      <c r="AA59" s="139"/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  <c r="AN59" s="139"/>
      <c r="AO59" s="139"/>
    </row>
    <row r="60" spans="1:41" x14ac:dyDescent="0.3">
      <c r="A60" s="136" t="s">
        <v>142</v>
      </c>
      <c r="B60" s="138"/>
      <c r="C60" s="138"/>
      <c r="D60" s="138"/>
      <c r="E60" s="138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2"/>
      <c r="Q60" s="142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  <c r="AN60" s="139"/>
      <c r="AO60" s="139"/>
    </row>
    <row r="61" spans="1:41" ht="18.75" customHeight="1" x14ac:dyDescent="0.3">
      <c r="A61" s="138" t="s">
        <v>143</v>
      </c>
      <c r="B61" s="138"/>
      <c r="C61" s="138"/>
      <c r="D61" s="138"/>
      <c r="E61" s="138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/>
      <c r="R61" s="139"/>
      <c r="S61" s="139"/>
      <c r="T61" s="139"/>
      <c r="U61" s="139"/>
      <c r="V61" s="139"/>
      <c r="W61" s="139"/>
      <c r="X61" s="139"/>
      <c r="Y61" s="139"/>
      <c r="Z61" s="139"/>
      <c r="AA61" s="139"/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  <c r="AN61" s="139"/>
      <c r="AO61" s="139"/>
    </row>
    <row r="62" spans="1:41" ht="68.25" customHeight="1" x14ac:dyDescent="0.3">
      <c r="A62" s="241" t="s">
        <v>144</v>
      </c>
      <c r="B62" s="243"/>
      <c r="C62" s="243"/>
      <c r="D62" s="243"/>
      <c r="E62" s="243"/>
      <c r="F62" s="243"/>
      <c r="G62" s="243"/>
      <c r="H62" s="243"/>
      <c r="I62" s="243"/>
      <c r="J62" s="243"/>
      <c r="K62" s="243"/>
      <c r="L62" s="243"/>
      <c r="M62" s="243"/>
      <c r="N62" s="243"/>
      <c r="O62" s="243"/>
      <c r="P62" s="243"/>
      <c r="Q62" s="242"/>
      <c r="R62" s="138"/>
      <c r="S62" s="138"/>
      <c r="T62" s="138"/>
      <c r="U62" s="138"/>
      <c r="V62" s="138"/>
      <c r="W62" s="138"/>
      <c r="X62" s="138"/>
      <c r="Y62" s="138"/>
      <c r="Z62" s="138"/>
      <c r="AA62" s="138"/>
      <c r="AB62" s="138"/>
      <c r="AC62" s="138"/>
      <c r="AD62" s="138"/>
      <c r="AE62" s="138"/>
      <c r="AF62" s="138"/>
      <c r="AG62" s="138"/>
      <c r="AH62" s="138"/>
      <c r="AI62" s="138"/>
      <c r="AJ62" s="138"/>
      <c r="AK62" s="138"/>
      <c r="AL62" s="230"/>
      <c r="AM62" s="230"/>
      <c r="AN62" s="138"/>
      <c r="AO62" s="138"/>
    </row>
    <row r="63" spans="1:41" x14ac:dyDescent="0.3">
      <c r="A63" s="136" t="s">
        <v>145</v>
      </c>
      <c r="B63" s="138"/>
      <c r="C63" s="138"/>
      <c r="D63" s="138"/>
      <c r="E63" s="138"/>
      <c r="F63" s="142"/>
      <c r="G63" s="142"/>
      <c r="H63" s="142"/>
      <c r="I63" s="142"/>
      <c r="J63" s="142"/>
      <c r="K63" s="142"/>
      <c r="L63" s="142"/>
      <c r="M63" s="142"/>
      <c r="N63" s="142"/>
      <c r="O63" s="142"/>
      <c r="P63" s="142"/>
      <c r="Q63" s="142"/>
      <c r="R63" s="139"/>
      <c r="S63" s="139"/>
      <c r="T63" s="139"/>
      <c r="U63" s="139"/>
      <c r="V63" s="139"/>
      <c r="W63" s="139"/>
      <c r="X63" s="139"/>
      <c r="Y63" s="139"/>
      <c r="Z63" s="139"/>
      <c r="AA63" s="139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  <c r="AN63" s="139"/>
      <c r="AO63" s="139"/>
    </row>
    <row r="64" spans="1:41" x14ac:dyDescent="0.3">
      <c r="A64" s="136" t="s">
        <v>146</v>
      </c>
      <c r="B64" s="138"/>
      <c r="C64" s="138"/>
      <c r="D64" s="138"/>
      <c r="E64" s="138"/>
      <c r="F64" s="142"/>
      <c r="G64" s="142"/>
      <c r="H64" s="142"/>
      <c r="I64" s="142"/>
      <c r="J64" s="142"/>
      <c r="K64" s="142"/>
      <c r="L64" s="142"/>
      <c r="M64" s="142"/>
      <c r="N64" s="142"/>
      <c r="O64" s="142"/>
      <c r="P64" s="142"/>
      <c r="Q64" s="142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  <c r="AN64" s="139"/>
      <c r="AO64" s="139"/>
    </row>
    <row r="65" spans="1:41" ht="18.75" customHeight="1" x14ac:dyDescent="0.3">
      <c r="A65" s="138" t="s">
        <v>147</v>
      </c>
      <c r="B65" s="138"/>
      <c r="C65" s="143"/>
      <c r="D65" s="143"/>
      <c r="E65" s="138"/>
      <c r="F65" s="142"/>
      <c r="G65" s="142"/>
      <c r="H65" s="142"/>
      <c r="I65" s="142"/>
      <c r="J65" s="142"/>
      <c r="K65" s="142"/>
      <c r="L65" s="142"/>
      <c r="M65" s="142"/>
      <c r="N65" s="142"/>
      <c r="O65" s="142"/>
      <c r="P65" s="142"/>
      <c r="Q65" s="142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  <c r="AN65" s="139"/>
      <c r="AO65" s="139"/>
    </row>
    <row r="66" spans="1:41" ht="18.75" customHeight="1" x14ac:dyDescent="0.3">
      <c r="A66" s="245" t="s">
        <v>148</v>
      </c>
      <c r="B66" s="246"/>
      <c r="C66" s="247"/>
      <c r="D66" s="161"/>
      <c r="E66" s="161"/>
      <c r="F66" s="162"/>
      <c r="G66" s="162"/>
      <c r="H66" s="162"/>
      <c r="I66" s="162"/>
      <c r="J66" s="162"/>
      <c r="K66" s="162"/>
      <c r="L66" s="162"/>
      <c r="M66" s="162"/>
      <c r="N66" s="162"/>
      <c r="O66" s="162"/>
      <c r="P66" s="162"/>
      <c r="Q66" s="162"/>
      <c r="R66" s="163">
        <f>R49</f>
        <v>10871.002469999999</v>
      </c>
      <c r="S66" s="163">
        <f t="shared" ref="S66:AO66" si="8">S49</f>
        <v>332.17999999999995</v>
      </c>
      <c r="T66" s="163">
        <f t="shared" si="8"/>
        <v>10538.822469999999</v>
      </c>
      <c r="U66" s="163">
        <f t="shared" si="8"/>
        <v>0</v>
      </c>
      <c r="V66" s="163">
        <f t="shared" si="8"/>
        <v>0</v>
      </c>
      <c r="W66" s="163">
        <f t="shared" si="8"/>
        <v>0</v>
      </c>
      <c r="X66" s="163">
        <f t="shared" si="8"/>
        <v>0</v>
      </c>
      <c r="Y66" s="163">
        <f t="shared" si="8"/>
        <v>0</v>
      </c>
      <c r="Z66" s="163">
        <f t="shared" si="8"/>
        <v>7761.7564700000003</v>
      </c>
      <c r="AA66" s="163">
        <f t="shared" si="8"/>
        <v>0</v>
      </c>
      <c r="AB66" s="163">
        <f t="shared" si="8"/>
        <v>3109.2460000000001</v>
      </c>
      <c r="AC66" s="163">
        <f t="shared" si="8"/>
        <v>0</v>
      </c>
      <c r="AD66" s="163">
        <f t="shared" si="8"/>
        <v>0</v>
      </c>
      <c r="AE66" s="163">
        <f t="shared" si="8"/>
        <v>0</v>
      </c>
      <c r="AF66" s="163">
        <f t="shared" si="8"/>
        <v>0</v>
      </c>
      <c r="AG66" s="163">
        <f t="shared" si="8"/>
        <v>0</v>
      </c>
      <c r="AH66" s="163">
        <f t="shared" si="8"/>
        <v>0</v>
      </c>
      <c r="AI66" s="163">
        <f t="shared" si="8"/>
        <v>0</v>
      </c>
      <c r="AJ66" s="163">
        <f t="shared" si="8"/>
        <v>0</v>
      </c>
      <c r="AK66" s="163">
        <f t="shared" si="8"/>
        <v>0</v>
      </c>
      <c r="AL66" s="163">
        <f t="shared" si="8"/>
        <v>0</v>
      </c>
      <c r="AM66" s="163">
        <f t="shared" si="8"/>
        <v>10871.002469999999</v>
      </c>
      <c r="AN66" s="163">
        <f t="shared" si="8"/>
        <v>0</v>
      </c>
      <c r="AO66" s="163">
        <f t="shared" si="8"/>
        <v>0</v>
      </c>
    </row>
  </sheetData>
  <mergeCells count="54">
    <mergeCell ref="AE9:AO9"/>
    <mergeCell ref="AE10:AE13"/>
    <mergeCell ref="R12:R13"/>
    <mergeCell ref="AF10:AF13"/>
    <mergeCell ref="AG10:AG13"/>
    <mergeCell ref="AH10:AH13"/>
    <mergeCell ref="AI10:AJ11"/>
    <mergeCell ref="S12:T12"/>
    <mergeCell ref="AI12:AI13"/>
    <mergeCell ref="AJ12:AJ13"/>
    <mergeCell ref="AM10:AM13"/>
    <mergeCell ref="AN10:AN13"/>
    <mergeCell ref="AO10:AO13"/>
    <mergeCell ref="U10:U13"/>
    <mergeCell ref="V10:AC12"/>
    <mergeCell ref="AD10:AD13"/>
    <mergeCell ref="AK10:AK13"/>
    <mergeCell ref="AL10:AL13"/>
    <mergeCell ref="D9:D13"/>
    <mergeCell ref="E9:E13"/>
    <mergeCell ref="F9:O9"/>
    <mergeCell ref="F10:O10"/>
    <mergeCell ref="R10:T11"/>
    <mergeCell ref="P9:P13"/>
    <mergeCell ref="Q9:Q13"/>
    <mergeCell ref="R9:AD9"/>
    <mergeCell ref="F11:J11"/>
    <mergeCell ref="K11:O11"/>
    <mergeCell ref="F12:I12"/>
    <mergeCell ref="J12:J13"/>
    <mergeCell ref="K12:N12"/>
    <mergeCell ref="O12:O13"/>
    <mergeCell ref="A4:Q4"/>
    <mergeCell ref="A5:Q5"/>
    <mergeCell ref="A66:C66"/>
    <mergeCell ref="A33:Q33"/>
    <mergeCell ref="A34:D34"/>
    <mergeCell ref="A47:N47"/>
    <mergeCell ref="A50:Q50"/>
    <mergeCell ref="A58:K58"/>
    <mergeCell ref="A49:B49"/>
    <mergeCell ref="A54:Q54"/>
    <mergeCell ref="A6:Q6"/>
    <mergeCell ref="A7:Q7"/>
    <mergeCell ref="A62:Q62"/>
    <mergeCell ref="A15:E15"/>
    <mergeCell ref="A19:F19"/>
    <mergeCell ref="A22:F22"/>
    <mergeCell ref="A9:A13"/>
    <mergeCell ref="B9:B13"/>
    <mergeCell ref="C9:C13"/>
    <mergeCell ref="A32:B32"/>
    <mergeCell ref="A25:K25"/>
    <mergeCell ref="A29:K29"/>
  </mergeCells>
  <pageMargins left="0.31496062992125984" right="0.31496062992125984" top="0.55118110236220474" bottom="0.35433070866141736" header="0" footer="0"/>
  <pageSetup paperSize="9" scale="40" fitToWidth="2" fitToHeight="11" orientation="landscape" verticalDpi="0" r:id="rId1"/>
  <colBreaks count="2" manualBreakCount="2">
    <brk id="17" max="1048575" man="1"/>
    <brk id="37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M65"/>
  <sheetViews>
    <sheetView view="pageBreakPreview" zoomScale="75" zoomScaleNormal="100" zoomScaleSheetLayoutView="75" workbookViewId="0">
      <selection activeCell="L1" sqref="L1"/>
    </sheetView>
  </sheetViews>
  <sheetFormatPr defaultColWidth="0.85546875" defaultRowHeight="12.75" customHeight="1" x14ac:dyDescent="0.2"/>
  <cols>
    <col min="1" max="1" width="8.7109375" style="7" customWidth="1"/>
    <col min="2" max="2" width="53" style="7" customWidth="1"/>
    <col min="3" max="3" width="14.85546875" style="7" customWidth="1"/>
    <col min="4" max="4" width="10.7109375" style="7" customWidth="1"/>
    <col min="5" max="5" width="11.140625" style="7" customWidth="1"/>
    <col min="6" max="6" width="11.42578125" style="7" customWidth="1"/>
    <col min="7" max="8" width="9.85546875" style="7" customWidth="1"/>
    <col min="9" max="10" width="8.140625" style="7" customWidth="1"/>
    <col min="11" max="11" width="7.5703125" style="7" customWidth="1"/>
    <col min="12" max="12" width="10.85546875" style="7" customWidth="1"/>
    <col min="13" max="239" width="8.28515625" style="7" customWidth="1"/>
    <col min="240" max="16384" width="0.85546875" style="7"/>
  </cols>
  <sheetData>
    <row r="1" spans="1:39" ht="12.75" customHeight="1" x14ac:dyDescent="0.2">
      <c r="B1" s="166"/>
      <c r="L1" s="167" t="s">
        <v>402</v>
      </c>
    </row>
    <row r="2" spans="1:39" ht="12.75" customHeight="1" x14ac:dyDescent="0.2">
      <c r="B2" s="166"/>
      <c r="L2" s="167" t="str">
        <f>'№2 ИП ТС'!Q2</f>
        <v>и тарифов Ивановской области от 13.12.2024 № 50/9</v>
      </c>
    </row>
    <row r="3" spans="1:39" ht="12.75" customHeight="1" x14ac:dyDescent="0.2">
      <c r="B3" s="166"/>
      <c r="L3" s="168" t="s">
        <v>388</v>
      </c>
    </row>
    <row r="4" spans="1:39" s="9" customFormat="1" x14ac:dyDescent="0.2">
      <c r="L4" s="12"/>
    </row>
    <row r="6" spans="1:39" s="9" customFormat="1" x14ac:dyDescent="0.2">
      <c r="A6" s="263" t="s">
        <v>192</v>
      </c>
      <c r="B6" s="263"/>
      <c r="C6" s="263"/>
      <c r="D6" s="263"/>
      <c r="E6" s="263"/>
      <c r="F6" s="263"/>
      <c r="G6" s="263"/>
      <c r="H6" s="263"/>
      <c r="I6" s="263"/>
      <c r="J6" s="263"/>
      <c r="K6" s="263"/>
      <c r="L6" s="263"/>
    </row>
    <row r="7" spans="1:39" s="9" customFormat="1" x14ac:dyDescent="0.2">
      <c r="A7" s="264" t="s">
        <v>212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</row>
    <row r="8" spans="1:39" x14ac:dyDescent="0.2">
      <c r="A8" s="265" t="s">
        <v>193</v>
      </c>
      <c r="B8" s="265"/>
      <c r="C8" s="265"/>
      <c r="D8" s="265"/>
      <c r="E8" s="265"/>
      <c r="F8" s="265"/>
      <c r="G8" s="265"/>
      <c r="H8" s="265"/>
      <c r="I8" s="265"/>
      <c r="J8" s="265"/>
      <c r="K8" s="265"/>
      <c r="L8" s="265"/>
    </row>
    <row r="9" spans="1:39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</row>
    <row r="10" spans="1:39" ht="15" x14ac:dyDescent="0.2">
      <c r="A10" s="266" t="s">
        <v>50</v>
      </c>
      <c r="B10" s="266" t="s">
        <v>25</v>
      </c>
      <c r="C10" s="266" t="s">
        <v>26</v>
      </c>
      <c r="D10" s="266" t="s">
        <v>194</v>
      </c>
      <c r="E10" s="266" t="s">
        <v>195</v>
      </c>
      <c r="F10" s="260" t="s">
        <v>196</v>
      </c>
      <c r="G10" s="261"/>
      <c r="H10" s="261"/>
      <c r="I10" s="261"/>
      <c r="J10" s="261"/>
      <c r="K10" s="261"/>
      <c r="L10" s="262"/>
    </row>
    <row r="11" spans="1:39" ht="15" x14ac:dyDescent="0.2">
      <c r="A11" s="266"/>
      <c r="B11" s="266"/>
      <c r="C11" s="266"/>
      <c r="D11" s="266"/>
      <c r="E11" s="266"/>
      <c r="F11" s="260" t="s">
        <v>197</v>
      </c>
      <c r="G11" s="261"/>
      <c r="H11" s="261"/>
      <c r="I11" s="261"/>
      <c r="J11" s="261"/>
      <c r="K11" s="261"/>
      <c r="L11" s="262"/>
    </row>
    <row r="12" spans="1:39" x14ac:dyDescent="0.2">
      <c r="A12" s="266"/>
      <c r="B12" s="266"/>
      <c r="C12" s="266"/>
      <c r="D12" s="266"/>
      <c r="E12" s="266"/>
      <c r="F12" s="217">
        <v>2024</v>
      </c>
      <c r="G12" s="217">
        <f t="shared" ref="G12:I13" si="0">F12+1</f>
        <v>2025</v>
      </c>
      <c r="H12" s="217">
        <f t="shared" si="0"/>
        <v>2026</v>
      </c>
      <c r="I12" s="217">
        <f t="shared" si="0"/>
        <v>2027</v>
      </c>
      <c r="J12" s="217">
        <f t="shared" ref="J12:J13" si="1">I12+1</f>
        <v>2028</v>
      </c>
      <c r="K12" s="217">
        <f t="shared" ref="K12:K13" si="2">J12+1</f>
        <v>2029</v>
      </c>
      <c r="L12" s="217" t="s">
        <v>178</v>
      </c>
      <c r="P12" s="7">
        <v>1</v>
      </c>
    </row>
    <row r="13" spans="1:39" x14ac:dyDescent="0.2">
      <c r="A13" s="217">
        <v>1</v>
      </c>
      <c r="B13" s="217">
        <v>2</v>
      </c>
      <c r="C13" s="217">
        <v>3</v>
      </c>
      <c r="D13" s="217">
        <v>4</v>
      </c>
      <c r="E13" s="217">
        <v>5</v>
      </c>
      <c r="F13" s="217">
        <f>E13+1</f>
        <v>6</v>
      </c>
      <c r="G13" s="217">
        <f t="shared" si="0"/>
        <v>7</v>
      </c>
      <c r="H13" s="217">
        <f t="shared" si="0"/>
        <v>8</v>
      </c>
      <c r="I13" s="217">
        <f t="shared" si="0"/>
        <v>9</v>
      </c>
      <c r="J13" s="217">
        <f t="shared" si="1"/>
        <v>10</v>
      </c>
      <c r="K13" s="217">
        <f t="shared" si="2"/>
        <v>11</v>
      </c>
      <c r="L13" s="217">
        <f t="shared" ref="L13" si="3">K13+1</f>
        <v>12</v>
      </c>
    </row>
    <row r="14" spans="1:39" s="10" customFormat="1" ht="43.5" customHeight="1" x14ac:dyDescent="0.25">
      <c r="A14" s="217">
        <v>1</v>
      </c>
      <c r="B14" s="218" t="s">
        <v>198</v>
      </c>
      <c r="C14" s="217" t="s">
        <v>199</v>
      </c>
      <c r="D14" s="16" t="s">
        <v>4</v>
      </c>
      <c r="E14" s="16" t="s">
        <v>4</v>
      </c>
      <c r="F14" s="16" t="s">
        <v>4</v>
      </c>
      <c r="G14" s="16" t="s">
        <v>4</v>
      </c>
      <c r="H14" s="15" t="s">
        <v>4</v>
      </c>
      <c r="I14" s="15" t="s">
        <v>4</v>
      </c>
      <c r="J14" s="15" t="s">
        <v>4</v>
      </c>
      <c r="K14" s="15" t="s">
        <v>4</v>
      </c>
      <c r="L14" s="15" t="s">
        <v>4</v>
      </c>
    </row>
    <row r="15" spans="1:39" s="10" customFormat="1" ht="27" customHeight="1" x14ac:dyDescent="0.25">
      <c r="A15" s="266">
        <v>2</v>
      </c>
      <c r="B15" s="268" t="s">
        <v>200</v>
      </c>
      <c r="C15" s="217" t="s">
        <v>201</v>
      </c>
      <c r="D15" s="15" t="s">
        <v>4</v>
      </c>
      <c r="E15" s="15" t="s">
        <v>4</v>
      </c>
      <c r="F15" s="217">
        <v>0.15679999999999999</v>
      </c>
      <c r="G15" s="217">
        <v>0.15679999999999999</v>
      </c>
      <c r="H15" s="217">
        <v>0.15679999999999999</v>
      </c>
      <c r="I15" s="217">
        <v>0.15679999999999999</v>
      </c>
      <c r="J15" s="217">
        <v>0.15679999999999999</v>
      </c>
      <c r="K15" s="217">
        <v>0.155</v>
      </c>
      <c r="L15" s="217">
        <v>0.15229999999999999</v>
      </c>
    </row>
    <row r="16" spans="1:39" s="10" customFormat="1" ht="26.25" customHeight="1" x14ac:dyDescent="0.25">
      <c r="A16" s="266"/>
      <c r="B16" s="268"/>
      <c r="C16" s="217" t="s">
        <v>202</v>
      </c>
      <c r="D16" s="15" t="s">
        <v>4</v>
      </c>
      <c r="E16" s="15" t="s">
        <v>4</v>
      </c>
      <c r="F16" s="16" t="s">
        <v>4</v>
      </c>
      <c r="G16" s="16" t="s">
        <v>4</v>
      </c>
      <c r="H16" s="16" t="s">
        <v>4</v>
      </c>
      <c r="I16" s="16" t="s">
        <v>4</v>
      </c>
      <c r="J16" s="16" t="s">
        <v>4</v>
      </c>
      <c r="K16" s="16" t="s">
        <v>4</v>
      </c>
      <c r="L16" s="16" t="s">
        <v>4</v>
      </c>
    </row>
    <row r="17" spans="1:12" s="10" customFormat="1" ht="37.5" customHeight="1" x14ac:dyDescent="0.25">
      <c r="A17" s="217">
        <v>3</v>
      </c>
      <c r="B17" s="218" t="s">
        <v>203</v>
      </c>
      <c r="C17" s="217" t="s">
        <v>204</v>
      </c>
      <c r="D17" s="15" t="s">
        <v>4</v>
      </c>
      <c r="E17" s="15" t="s">
        <v>4</v>
      </c>
      <c r="F17" s="15" t="s">
        <v>4</v>
      </c>
      <c r="G17" s="15" t="s">
        <v>4</v>
      </c>
      <c r="H17" s="15" t="s">
        <v>4</v>
      </c>
      <c r="I17" s="15" t="s">
        <v>4</v>
      </c>
      <c r="J17" s="15" t="s">
        <v>4</v>
      </c>
      <c r="K17" s="15" t="s">
        <v>4</v>
      </c>
      <c r="L17" s="15" t="s">
        <v>4</v>
      </c>
    </row>
    <row r="18" spans="1:12" s="10" customFormat="1" ht="41.25" customHeight="1" x14ac:dyDescent="0.25">
      <c r="A18" s="217">
        <v>4</v>
      </c>
      <c r="B18" s="218" t="s">
        <v>205</v>
      </c>
      <c r="C18" s="217" t="s">
        <v>12</v>
      </c>
      <c r="D18" s="15" t="s">
        <v>4</v>
      </c>
      <c r="E18" s="15" t="s">
        <v>4</v>
      </c>
      <c r="F18" s="15" t="s">
        <v>4</v>
      </c>
      <c r="G18" s="15" t="s">
        <v>4</v>
      </c>
      <c r="H18" s="15" t="s">
        <v>4</v>
      </c>
      <c r="I18" s="15" t="s">
        <v>4</v>
      </c>
      <c r="J18" s="15" t="s">
        <v>4</v>
      </c>
      <c r="K18" s="15" t="s">
        <v>4</v>
      </c>
      <c r="L18" s="17" t="s">
        <v>4</v>
      </c>
    </row>
    <row r="19" spans="1:12" s="10" customFormat="1" ht="30" customHeight="1" x14ac:dyDescent="0.25">
      <c r="A19" s="266">
        <v>5</v>
      </c>
      <c r="B19" s="268" t="s">
        <v>206</v>
      </c>
      <c r="C19" s="217" t="s">
        <v>207</v>
      </c>
      <c r="D19" s="15" t="s">
        <v>4</v>
      </c>
      <c r="E19" s="15" t="s">
        <v>4</v>
      </c>
      <c r="F19" s="217">
        <v>212.7</v>
      </c>
      <c r="G19" s="217">
        <v>212.7</v>
      </c>
      <c r="H19" s="217">
        <v>212.7</v>
      </c>
      <c r="I19" s="217">
        <v>212.7</v>
      </c>
      <c r="J19" s="217">
        <v>158.80000000000001</v>
      </c>
      <c r="K19" s="217">
        <v>158.80000000000001</v>
      </c>
      <c r="L19" s="217">
        <v>158.80000000000001</v>
      </c>
    </row>
    <row r="20" spans="1:12" s="10" customFormat="1" ht="39" customHeight="1" x14ac:dyDescent="0.25">
      <c r="A20" s="266"/>
      <c r="B20" s="268"/>
      <c r="C20" s="217" t="s">
        <v>208</v>
      </c>
      <c r="D20" s="15" t="s">
        <v>4</v>
      </c>
      <c r="E20" s="15" t="s">
        <v>4</v>
      </c>
      <c r="F20" s="222">
        <f>Лист3!E7</f>
        <v>23.429238632358125</v>
      </c>
      <c r="G20" s="222">
        <f>F20</f>
        <v>23.429238632358125</v>
      </c>
      <c r="H20" s="222">
        <f t="shared" ref="H20:I20" si="4">G20</f>
        <v>23.429238632358125</v>
      </c>
      <c r="I20" s="223">
        <f t="shared" si="4"/>
        <v>23.429238632358125</v>
      </c>
      <c r="J20" s="223">
        <f>Лист3!F7</f>
        <v>18.596154296554793</v>
      </c>
      <c r="K20" s="222">
        <f>J20</f>
        <v>18.596154296554793</v>
      </c>
      <c r="L20" s="222">
        <f>K20</f>
        <v>18.596154296554793</v>
      </c>
    </row>
    <row r="21" spans="1:12" s="10" customFormat="1" ht="24" customHeight="1" x14ac:dyDescent="0.25">
      <c r="A21" s="266">
        <v>5</v>
      </c>
      <c r="B21" s="268" t="s">
        <v>342</v>
      </c>
      <c r="C21" s="217" t="s">
        <v>207</v>
      </c>
      <c r="D21" s="15" t="s">
        <v>4</v>
      </c>
      <c r="E21" s="15" t="s">
        <v>4</v>
      </c>
      <c r="F21" s="217">
        <f>SUM(F23:F34)</f>
        <v>133.357</v>
      </c>
      <c r="G21" s="217">
        <f t="shared" ref="G21:L21" si="5">SUM(G23:G34)</f>
        <v>133.357</v>
      </c>
      <c r="H21" s="217">
        <f t="shared" si="5"/>
        <v>133.357</v>
      </c>
      <c r="I21" s="217">
        <f t="shared" si="5"/>
        <v>133.357</v>
      </c>
      <c r="J21" s="217">
        <f t="shared" si="5"/>
        <v>79.52300000000001</v>
      </c>
      <c r="K21" s="217">
        <f t="shared" si="5"/>
        <v>79.52300000000001</v>
      </c>
      <c r="L21" s="217">
        <f t="shared" si="5"/>
        <v>79.52300000000001</v>
      </c>
    </row>
    <row r="22" spans="1:12" s="10" customFormat="1" ht="25.5" customHeight="1" x14ac:dyDescent="0.25">
      <c r="A22" s="266"/>
      <c r="B22" s="268"/>
      <c r="C22" s="217" t="s">
        <v>208</v>
      </c>
      <c r="D22" s="15" t="s">
        <v>4</v>
      </c>
      <c r="E22" s="15" t="s">
        <v>4</v>
      </c>
      <c r="F22" s="222">
        <f>F20/F19*F21</f>
        <v>14.689482728234051</v>
      </c>
      <c r="G22" s="222">
        <f t="shared" ref="G22:L22" si="6">G20/G19*G21</f>
        <v>14.689482728234051</v>
      </c>
      <c r="H22" s="222">
        <f t="shared" si="6"/>
        <v>14.689482728234051</v>
      </c>
      <c r="I22" s="222">
        <f t="shared" si="6"/>
        <v>14.689482728234051</v>
      </c>
      <c r="J22" s="222">
        <f t="shared" si="6"/>
        <v>9.312480970559994</v>
      </c>
      <c r="K22" s="222">
        <f t="shared" si="6"/>
        <v>9.312480970559994</v>
      </c>
      <c r="L22" s="222">
        <f t="shared" si="6"/>
        <v>9.312480970559994</v>
      </c>
    </row>
    <row r="23" spans="1:12" s="10" customFormat="1" ht="56.25" customHeight="1" x14ac:dyDescent="0.25">
      <c r="A23" s="8" t="s">
        <v>7</v>
      </c>
      <c r="B23" s="224" t="s">
        <v>151</v>
      </c>
      <c r="C23" s="217" t="s">
        <v>207</v>
      </c>
      <c r="D23" s="15" t="s">
        <v>4</v>
      </c>
      <c r="E23" s="15" t="s">
        <v>4</v>
      </c>
      <c r="F23" s="217">
        <v>1.0840000000000001</v>
      </c>
      <c r="G23" s="217">
        <v>1.0840000000000001</v>
      </c>
      <c r="H23" s="217">
        <v>1.0840000000000001</v>
      </c>
      <c r="I23" s="217">
        <v>1.0840000000000001</v>
      </c>
      <c r="J23" s="217">
        <v>1.0840000000000001</v>
      </c>
      <c r="K23" s="217">
        <v>1.0840000000000001</v>
      </c>
      <c r="L23" s="217">
        <v>1.0840000000000001</v>
      </c>
    </row>
    <row r="24" spans="1:12" s="10" customFormat="1" ht="61.5" customHeight="1" x14ac:dyDescent="0.25">
      <c r="A24" s="8" t="s">
        <v>8</v>
      </c>
      <c r="B24" s="224" t="s">
        <v>152</v>
      </c>
      <c r="C24" s="217" t="s">
        <v>207</v>
      </c>
      <c r="D24" s="15" t="s">
        <v>4</v>
      </c>
      <c r="E24" s="15" t="s">
        <v>4</v>
      </c>
      <c r="F24" s="217">
        <v>18.693000000000001</v>
      </c>
      <c r="G24" s="217">
        <v>18.693000000000001</v>
      </c>
      <c r="H24" s="217">
        <v>18.693000000000001</v>
      </c>
      <c r="I24" s="217">
        <v>18.693000000000001</v>
      </c>
      <c r="J24" s="217">
        <v>18.693000000000001</v>
      </c>
      <c r="K24" s="217">
        <v>18.693000000000001</v>
      </c>
      <c r="L24" s="217">
        <v>18.693000000000001</v>
      </c>
    </row>
    <row r="25" spans="1:12" s="10" customFormat="1" ht="64.5" customHeight="1" x14ac:dyDescent="0.25">
      <c r="A25" s="8" t="s">
        <v>9</v>
      </c>
      <c r="B25" s="224" t="s">
        <v>153</v>
      </c>
      <c r="C25" s="217" t="s">
        <v>207</v>
      </c>
      <c r="D25" s="15" t="s">
        <v>4</v>
      </c>
      <c r="E25" s="15" t="s">
        <v>4</v>
      </c>
      <c r="F25" s="217">
        <v>27.234999999999999</v>
      </c>
      <c r="G25" s="217">
        <v>27.234999999999999</v>
      </c>
      <c r="H25" s="217">
        <v>27.234999999999999</v>
      </c>
      <c r="I25" s="217">
        <v>27.234999999999999</v>
      </c>
      <c r="J25" s="217">
        <v>14.456</v>
      </c>
      <c r="K25" s="217">
        <v>14.456</v>
      </c>
      <c r="L25" s="217">
        <v>14.456</v>
      </c>
    </row>
    <row r="26" spans="1:12" s="10" customFormat="1" ht="63" customHeight="1" x14ac:dyDescent="0.25">
      <c r="A26" s="8" t="s">
        <v>10</v>
      </c>
      <c r="B26" s="224" t="s">
        <v>154</v>
      </c>
      <c r="C26" s="217" t="s">
        <v>207</v>
      </c>
      <c r="D26" s="15" t="s">
        <v>4</v>
      </c>
      <c r="E26" s="15" t="s">
        <v>4</v>
      </c>
      <c r="F26" s="217">
        <v>7.8070000000000004</v>
      </c>
      <c r="G26" s="217">
        <v>7.8070000000000004</v>
      </c>
      <c r="H26" s="217">
        <v>7.8070000000000004</v>
      </c>
      <c r="I26" s="217">
        <v>7.8070000000000004</v>
      </c>
      <c r="J26" s="217">
        <v>4.1440000000000001</v>
      </c>
      <c r="K26" s="217">
        <v>4.1440000000000001</v>
      </c>
      <c r="L26" s="217">
        <v>4.1440000000000001</v>
      </c>
    </row>
    <row r="27" spans="1:12" s="10" customFormat="1" ht="56.25" customHeight="1" x14ac:dyDescent="0.25">
      <c r="A27" s="8" t="s">
        <v>334</v>
      </c>
      <c r="B27" s="224" t="s">
        <v>155</v>
      </c>
      <c r="C27" s="217" t="s">
        <v>207</v>
      </c>
      <c r="D27" s="15" t="s">
        <v>4</v>
      </c>
      <c r="E27" s="15" t="s">
        <v>4</v>
      </c>
      <c r="F27" s="217">
        <v>14.07</v>
      </c>
      <c r="G27" s="217">
        <v>14.07</v>
      </c>
      <c r="H27" s="217">
        <v>14.07</v>
      </c>
      <c r="I27" s="217">
        <v>14.07</v>
      </c>
      <c r="J27" s="217">
        <v>7.4660000000000002</v>
      </c>
      <c r="K27" s="217">
        <v>7.4660000000000002</v>
      </c>
      <c r="L27" s="217">
        <v>7.4660000000000002</v>
      </c>
    </row>
    <row r="28" spans="1:12" s="10" customFormat="1" ht="56.25" customHeight="1" x14ac:dyDescent="0.25">
      <c r="A28" s="8" t="s">
        <v>335</v>
      </c>
      <c r="B28" s="224" t="s">
        <v>156</v>
      </c>
      <c r="C28" s="217" t="s">
        <v>207</v>
      </c>
      <c r="D28" s="15" t="s">
        <v>4</v>
      </c>
      <c r="E28" s="15" t="s">
        <v>4</v>
      </c>
      <c r="F28" s="217">
        <v>3.3820000000000001</v>
      </c>
      <c r="G28" s="217">
        <v>3.3820000000000001</v>
      </c>
      <c r="H28" s="217">
        <v>3.3820000000000001</v>
      </c>
      <c r="I28" s="217">
        <v>3.3820000000000001</v>
      </c>
      <c r="J28" s="217">
        <v>1.9359999999999999</v>
      </c>
      <c r="K28" s="217">
        <v>1.9359999999999999</v>
      </c>
      <c r="L28" s="217">
        <v>1.9359999999999999</v>
      </c>
    </row>
    <row r="29" spans="1:12" s="10" customFormat="1" ht="64.5" customHeight="1" x14ac:dyDescent="0.25">
      <c r="A29" s="8" t="s">
        <v>336</v>
      </c>
      <c r="B29" s="224" t="s">
        <v>157</v>
      </c>
      <c r="C29" s="217" t="s">
        <v>207</v>
      </c>
      <c r="D29" s="15" t="s">
        <v>4</v>
      </c>
      <c r="E29" s="15" t="s">
        <v>4</v>
      </c>
      <c r="F29" s="217">
        <v>21.335999999999999</v>
      </c>
      <c r="G29" s="217">
        <v>21.335999999999999</v>
      </c>
      <c r="H29" s="217">
        <v>21.335999999999999</v>
      </c>
      <c r="I29" s="217">
        <v>21.335999999999999</v>
      </c>
      <c r="J29" s="217">
        <v>11.321</v>
      </c>
      <c r="K29" s="217">
        <v>11.321</v>
      </c>
      <c r="L29" s="217">
        <v>11.321</v>
      </c>
    </row>
    <row r="30" spans="1:12" s="10" customFormat="1" ht="64.5" customHeight="1" x14ac:dyDescent="0.25">
      <c r="A30" s="8" t="s">
        <v>337</v>
      </c>
      <c r="B30" s="224" t="s">
        <v>158</v>
      </c>
      <c r="C30" s="217" t="s">
        <v>207</v>
      </c>
      <c r="D30" s="15" t="s">
        <v>4</v>
      </c>
      <c r="E30" s="15" t="s">
        <v>4</v>
      </c>
      <c r="F30" s="217">
        <v>18.155000000000001</v>
      </c>
      <c r="G30" s="217">
        <v>18.155000000000001</v>
      </c>
      <c r="H30" s="217">
        <v>18.155000000000001</v>
      </c>
      <c r="I30" s="217">
        <v>18.155000000000001</v>
      </c>
      <c r="J30" s="217">
        <v>9.6310000000000002</v>
      </c>
      <c r="K30" s="217">
        <v>9.6310000000000002</v>
      </c>
      <c r="L30" s="217">
        <v>9.6310000000000002</v>
      </c>
    </row>
    <row r="31" spans="1:12" s="10" customFormat="1" ht="64.5" customHeight="1" x14ac:dyDescent="0.25">
      <c r="A31" s="8" t="s">
        <v>338</v>
      </c>
      <c r="B31" s="224" t="s">
        <v>159</v>
      </c>
      <c r="C31" s="217" t="s">
        <v>207</v>
      </c>
      <c r="D31" s="15" t="s">
        <v>4</v>
      </c>
      <c r="E31" s="15" t="s">
        <v>4</v>
      </c>
      <c r="F31" s="217">
        <v>2.8220000000000001</v>
      </c>
      <c r="G31" s="217">
        <v>2.8220000000000001</v>
      </c>
      <c r="H31" s="217">
        <v>2.8220000000000001</v>
      </c>
      <c r="I31" s="217">
        <v>2.8220000000000001</v>
      </c>
      <c r="J31" s="217">
        <v>1.554</v>
      </c>
      <c r="K31" s="217">
        <v>1.554</v>
      </c>
      <c r="L31" s="217">
        <v>1.554</v>
      </c>
    </row>
    <row r="32" spans="1:12" s="10" customFormat="1" ht="62.25" customHeight="1" x14ac:dyDescent="0.25">
      <c r="A32" s="8" t="s">
        <v>339</v>
      </c>
      <c r="B32" s="224" t="s">
        <v>160</v>
      </c>
      <c r="C32" s="217" t="s">
        <v>207</v>
      </c>
      <c r="D32" s="15" t="s">
        <v>4</v>
      </c>
      <c r="E32" s="15" t="s">
        <v>4</v>
      </c>
      <c r="F32" s="217">
        <v>6.5789999999999997</v>
      </c>
      <c r="G32" s="217">
        <v>6.5789999999999997</v>
      </c>
      <c r="H32" s="217">
        <v>6.5789999999999997</v>
      </c>
      <c r="I32" s="217">
        <v>6.5789999999999997</v>
      </c>
      <c r="J32" s="217">
        <v>3.492</v>
      </c>
      <c r="K32" s="217">
        <v>3.492</v>
      </c>
      <c r="L32" s="217">
        <v>3.492</v>
      </c>
    </row>
    <row r="33" spans="1:16" s="10" customFormat="1" ht="63" customHeight="1" x14ac:dyDescent="0.25">
      <c r="A33" s="8" t="s">
        <v>340</v>
      </c>
      <c r="B33" s="224" t="s">
        <v>161</v>
      </c>
      <c r="C33" s="217" t="s">
        <v>207</v>
      </c>
      <c r="D33" s="15" t="s">
        <v>4</v>
      </c>
      <c r="E33" s="15" t="s">
        <v>4</v>
      </c>
      <c r="F33" s="217">
        <v>6.8070000000000004</v>
      </c>
      <c r="G33" s="217">
        <v>6.8070000000000004</v>
      </c>
      <c r="H33" s="217">
        <v>6.8070000000000004</v>
      </c>
      <c r="I33" s="217">
        <v>6.8070000000000004</v>
      </c>
      <c r="J33" s="217">
        <v>3.6110000000000002</v>
      </c>
      <c r="K33" s="217">
        <v>3.6110000000000002</v>
      </c>
      <c r="L33" s="217">
        <v>3.6110000000000002</v>
      </c>
    </row>
    <row r="34" spans="1:16" s="10" customFormat="1" ht="74.25" customHeight="1" x14ac:dyDescent="0.25">
      <c r="A34" s="8" t="s">
        <v>341</v>
      </c>
      <c r="B34" s="224" t="s">
        <v>162</v>
      </c>
      <c r="C34" s="217" t="s">
        <v>207</v>
      </c>
      <c r="D34" s="15" t="s">
        <v>4</v>
      </c>
      <c r="E34" s="15" t="s">
        <v>4</v>
      </c>
      <c r="F34" s="217">
        <v>5.3869999999999996</v>
      </c>
      <c r="G34" s="217">
        <v>5.3869999999999996</v>
      </c>
      <c r="H34" s="217">
        <v>5.3869999999999996</v>
      </c>
      <c r="I34" s="217">
        <v>5.3869999999999996</v>
      </c>
      <c r="J34" s="217">
        <v>2.1349999999999998</v>
      </c>
      <c r="K34" s="217">
        <v>2.1349999999999998</v>
      </c>
      <c r="L34" s="217">
        <v>2.1349999999999998</v>
      </c>
    </row>
    <row r="35" spans="1:16" ht="12.75" customHeight="1" x14ac:dyDescent="0.2">
      <c r="B35" s="166"/>
      <c r="L35" s="167" t="s">
        <v>387</v>
      </c>
    </row>
    <row r="36" spans="1:16" ht="12.75" customHeight="1" x14ac:dyDescent="0.2">
      <c r="B36" s="166"/>
      <c r="L36" s="167" t="str">
        <f>L2</f>
        <v>и тарифов Ивановской области от 13.12.2024 № 50/9</v>
      </c>
    </row>
    <row r="37" spans="1:16" ht="12.75" customHeight="1" x14ac:dyDescent="0.2">
      <c r="B37" s="166"/>
      <c r="L37" s="168" t="s">
        <v>388</v>
      </c>
    </row>
    <row r="38" spans="1:16" ht="12.75" customHeight="1" x14ac:dyDescent="0.2">
      <c r="B38" s="166"/>
      <c r="L38" s="168"/>
    </row>
    <row r="39" spans="1:16" ht="15" x14ac:dyDescent="0.2">
      <c r="A39" s="266" t="s">
        <v>50</v>
      </c>
      <c r="B39" s="266" t="s">
        <v>25</v>
      </c>
      <c r="C39" s="266" t="s">
        <v>26</v>
      </c>
      <c r="D39" s="266" t="s">
        <v>194</v>
      </c>
      <c r="E39" s="266" t="s">
        <v>195</v>
      </c>
      <c r="F39" s="260" t="s">
        <v>196</v>
      </c>
      <c r="G39" s="261"/>
      <c r="H39" s="261"/>
      <c r="I39" s="261"/>
      <c r="J39" s="261"/>
      <c r="K39" s="261"/>
      <c r="L39" s="262"/>
    </row>
    <row r="40" spans="1:16" ht="15" x14ac:dyDescent="0.2">
      <c r="A40" s="266"/>
      <c r="B40" s="266"/>
      <c r="C40" s="266"/>
      <c r="D40" s="266"/>
      <c r="E40" s="266"/>
      <c r="F40" s="260" t="s">
        <v>197</v>
      </c>
      <c r="G40" s="261"/>
      <c r="H40" s="261"/>
      <c r="I40" s="261"/>
      <c r="J40" s="261"/>
      <c r="K40" s="261"/>
      <c r="L40" s="262"/>
    </row>
    <row r="41" spans="1:16" x14ac:dyDescent="0.2">
      <c r="A41" s="266"/>
      <c r="B41" s="266"/>
      <c r="C41" s="266"/>
      <c r="D41" s="266"/>
      <c r="E41" s="266"/>
      <c r="F41" s="217">
        <v>2024</v>
      </c>
      <c r="G41" s="217">
        <f t="shared" ref="G41:G42" si="7">F41+1</f>
        <v>2025</v>
      </c>
      <c r="H41" s="217">
        <f t="shared" ref="H41:H42" si="8">G41+1</f>
        <v>2026</v>
      </c>
      <c r="I41" s="217">
        <f t="shared" ref="I41:I42" si="9">H41+1</f>
        <v>2027</v>
      </c>
      <c r="J41" s="217">
        <f t="shared" ref="J41:J42" si="10">I41+1</f>
        <v>2028</v>
      </c>
      <c r="K41" s="217">
        <f t="shared" ref="K41:K42" si="11">J41+1</f>
        <v>2029</v>
      </c>
      <c r="L41" s="217" t="s">
        <v>178</v>
      </c>
      <c r="P41" s="7">
        <v>1</v>
      </c>
    </row>
    <row r="42" spans="1:16" x14ac:dyDescent="0.2">
      <c r="A42" s="217">
        <v>1</v>
      </c>
      <c r="B42" s="217">
        <v>2</v>
      </c>
      <c r="C42" s="217">
        <v>3</v>
      </c>
      <c r="D42" s="217">
        <v>4</v>
      </c>
      <c r="E42" s="217">
        <v>5</v>
      </c>
      <c r="F42" s="217">
        <f>E42+1</f>
        <v>6</v>
      </c>
      <c r="G42" s="217">
        <f t="shared" si="7"/>
        <v>7</v>
      </c>
      <c r="H42" s="217">
        <f t="shared" si="8"/>
        <v>8</v>
      </c>
      <c r="I42" s="217">
        <f t="shared" si="9"/>
        <v>9</v>
      </c>
      <c r="J42" s="217">
        <f t="shared" si="10"/>
        <v>10</v>
      </c>
      <c r="K42" s="217">
        <f t="shared" si="11"/>
        <v>11</v>
      </c>
      <c r="L42" s="217">
        <f t="shared" ref="L42" si="12">K42+1</f>
        <v>12</v>
      </c>
    </row>
    <row r="43" spans="1:16" ht="25.5" x14ac:dyDescent="0.2">
      <c r="A43" s="266">
        <v>6</v>
      </c>
      <c r="B43" s="266" t="s">
        <v>209</v>
      </c>
      <c r="C43" s="217" t="s">
        <v>210</v>
      </c>
      <c r="D43" s="15" t="s">
        <v>4</v>
      </c>
      <c r="E43" s="15" t="s">
        <v>4</v>
      </c>
      <c r="F43" s="217">
        <v>90.1</v>
      </c>
      <c r="G43" s="217">
        <v>90.1</v>
      </c>
      <c r="H43" s="217">
        <v>90.1</v>
      </c>
      <c r="I43" s="225">
        <v>90.1</v>
      </c>
      <c r="J43" s="225">
        <v>90.1</v>
      </c>
      <c r="K43" s="217">
        <v>90.1</v>
      </c>
      <c r="L43" s="217">
        <v>90.1</v>
      </c>
    </row>
    <row r="44" spans="1:16" x14ac:dyDescent="0.2">
      <c r="A44" s="266"/>
      <c r="B44" s="266"/>
      <c r="C44" s="217" t="s">
        <v>211</v>
      </c>
      <c r="D44" s="15" t="s">
        <v>4</v>
      </c>
      <c r="E44" s="15" t="s">
        <v>4</v>
      </c>
      <c r="F44" s="16" t="s">
        <v>4</v>
      </c>
      <c r="G44" s="16" t="s">
        <v>4</v>
      </c>
      <c r="H44" s="16" t="s">
        <v>4</v>
      </c>
      <c r="I44" s="16" t="s">
        <v>4</v>
      </c>
      <c r="J44" s="16" t="s">
        <v>4</v>
      </c>
      <c r="K44" s="16" t="s">
        <v>4</v>
      </c>
      <c r="L44" s="16" t="s">
        <v>4</v>
      </c>
    </row>
    <row r="45" spans="1:16" ht="25.5" x14ac:dyDescent="0.2">
      <c r="A45" s="266">
        <v>6</v>
      </c>
      <c r="B45" s="266" t="s">
        <v>380</v>
      </c>
      <c r="C45" s="217" t="s">
        <v>210</v>
      </c>
      <c r="D45" s="15" t="s">
        <v>4</v>
      </c>
      <c r="E45" s="15" t="s">
        <v>4</v>
      </c>
      <c r="F45" s="217">
        <f>SUM(F47:F58)</f>
        <v>8.5840000000000014</v>
      </c>
      <c r="G45" s="217">
        <f t="shared" ref="G45:L45" si="13">SUM(G47:G58)</f>
        <v>8.5840000000000014</v>
      </c>
      <c r="H45" s="217">
        <f t="shared" si="13"/>
        <v>8.5840000000000014</v>
      </c>
      <c r="I45" s="217">
        <f t="shared" si="13"/>
        <v>8.5840000000000014</v>
      </c>
      <c r="J45" s="217">
        <f t="shared" si="13"/>
        <v>8.5840000000000014</v>
      </c>
      <c r="K45" s="217">
        <f t="shared" si="13"/>
        <v>8.5840000000000014</v>
      </c>
      <c r="L45" s="217">
        <f t="shared" si="13"/>
        <v>8.5840000000000014</v>
      </c>
    </row>
    <row r="46" spans="1:16" x14ac:dyDescent="0.2">
      <c r="A46" s="266"/>
      <c r="B46" s="266"/>
      <c r="C46" s="217" t="s">
        <v>211</v>
      </c>
      <c r="D46" s="15" t="s">
        <v>4</v>
      </c>
      <c r="E46" s="15" t="s">
        <v>4</v>
      </c>
      <c r="F46" s="16" t="s">
        <v>4</v>
      </c>
      <c r="G46" s="16" t="s">
        <v>4</v>
      </c>
      <c r="H46" s="16" t="s">
        <v>4</v>
      </c>
      <c r="I46" s="16" t="s">
        <v>4</v>
      </c>
      <c r="J46" s="16" t="s">
        <v>4</v>
      </c>
      <c r="K46" s="16" t="s">
        <v>4</v>
      </c>
      <c r="L46" s="16" t="s">
        <v>4</v>
      </c>
    </row>
    <row r="47" spans="1:16" ht="36" x14ac:dyDescent="0.2">
      <c r="A47" s="8" t="s">
        <v>11</v>
      </c>
      <c r="B47" s="226" t="s">
        <v>151</v>
      </c>
      <c r="C47" s="217" t="s">
        <v>381</v>
      </c>
      <c r="D47" s="15" t="s">
        <v>4</v>
      </c>
      <c r="E47" s="15" t="s">
        <v>4</v>
      </c>
      <c r="F47" s="217">
        <v>1.016</v>
      </c>
      <c r="G47" s="217">
        <v>1.016</v>
      </c>
      <c r="H47" s="217">
        <v>1.016</v>
      </c>
      <c r="I47" s="217">
        <v>1.016</v>
      </c>
      <c r="J47" s="217">
        <v>1.016</v>
      </c>
      <c r="K47" s="217">
        <v>1.016</v>
      </c>
      <c r="L47" s="217">
        <v>1.016</v>
      </c>
    </row>
    <row r="48" spans="1:16" ht="48" x14ac:dyDescent="0.2">
      <c r="A48" s="8" t="s">
        <v>13</v>
      </c>
      <c r="B48" s="226" t="s">
        <v>152</v>
      </c>
      <c r="C48" s="217" t="s">
        <v>381</v>
      </c>
      <c r="D48" s="15" t="s">
        <v>4</v>
      </c>
      <c r="E48" s="15" t="s">
        <v>4</v>
      </c>
      <c r="F48" s="217">
        <v>1.8280000000000001</v>
      </c>
      <c r="G48" s="217">
        <v>1.8280000000000001</v>
      </c>
      <c r="H48" s="217">
        <v>1.8280000000000001</v>
      </c>
      <c r="I48" s="217">
        <v>1.8280000000000001</v>
      </c>
      <c r="J48" s="217">
        <v>1.8280000000000001</v>
      </c>
      <c r="K48" s="217">
        <v>1.8280000000000001</v>
      </c>
      <c r="L48" s="217">
        <v>1.8280000000000001</v>
      </c>
    </row>
    <row r="49" spans="1:12" ht="48" x14ac:dyDescent="0.2">
      <c r="A49" s="8" t="s">
        <v>14</v>
      </c>
      <c r="B49" s="226" t="s">
        <v>153</v>
      </c>
      <c r="C49" s="217" t="s">
        <v>381</v>
      </c>
      <c r="D49" s="15" t="s">
        <v>4</v>
      </c>
      <c r="E49" s="15" t="s">
        <v>4</v>
      </c>
      <c r="F49" s="217">
        <v>1.4139999999999999</v>
      </c>
      <c r="G49" s="217">
        <v>1.4139999999999999</v>
      </c>
      <c r="H49" s="217">
        <v>1.4139999999999999</v>
      </c>
      <c r="I49" s="217">
        <v>1.4139999999999999</v>
      </c>
      <c r="J49" s="217">
        <v>1.4139999999999999</v>
      </c>
      <c r="K49" s="217">
        <v>1.4139999999999999</v>
      </c>
      <c r="L49" s="217">
        <v>1.4139999999999999</v>
      </c>
    </row>
    <row r="50" spans="1:12" ht="48" x14ac:dyDescent="0.2">
      <c r="A50" s="8" t="s">
        <v>15</v>
      </c>
      <c r="B50" s="226" t="s">
        <v>154</v>
      </c>
      <c r="C50" s="217" t="s">
        <v>381</v>
      </c>
      <c r="D50" s="15" t="s">
        <v>4</v>
      </c>
      <c r="E50" s="15" t="s">
        <v>4</v>
      </c>
      <c r="F50" s="217">
        <v>0.40500000000000003</v>
      </c>
      <c r="G50" s="217">
        <v>0.40500000000000003</v>
      </c>
      <c r="H50" s="217">
        <v>0.40500000000000003</v>
      </c>
      <c r="I50" s="217">
        <v>0.40500000000000003</v>
      </c>
      <c r="J50" s="217">
        <v>0.40500000000000003</v>
      </c>
      <c r="K50" s="217">
        <v>0.40500000000000003</v>
      </c>
      <c r="L50" s="217">
        <v>0.40500000000000003</v>
      </c>
    </row>
    <row r="51" spans="1:12" ht="48" x14ac:dyDescent="0.2">
      <c r="A51" s="8" t="s">
        <v>84</v>
      </c>
      <c r="B51" s="226" t="s">
        <v>155</v>
      </c>
      <c r="C51" s="217" t="s">
        <v>381</v>
      </c>
      <c r="D51" s="15" t="s">
        <v>4</v>
      </c>
      <c r="E51" s="15" t="s">
        <v>4</v>
      </c>
      <c r="F51" s="217">
        <v>0.73</v>
      </c>
      <c r="G51" s="217">
        <v>0.73</v>
      </c>
      <c r="H51" s="217">
        <v>0.73</v>
      </c>
      <c r="I51" s="217">
        <v>0.73</v>
      </c>
      <c r="J51" s="217">
        <v>0.73</v>
      </c>
      <c r="K51" s="217">
        <v>0.73</v>
      </c>
      <c r="L51" s="217">
        <v>0.73</v>
      </c>
    </row>
    <row r="52" spans="1:12" ht="48" x14ac:dyDescent="0.2">
      <c r="A52" s="8" t="s">
        <v>389</v>
      </c>
      <c r="B52" s="226" t="s">
        <v>156</v>
      </c>
      <c r="C52" s="217" t="s">
        <v>381</v>
      </c>
      <c r="D52" s="15" t="s">
        <v>4</v>
      </c>
      <c r="E52" s="15" t="s">
        <v>4</v>
      </c>
      <c r="F52" s="217">
        <v>6.5000000000000002E-2</v>
      </c>
      <c r="G52" s="217">
        <v>6.5000000000000002E-2</v>
      </c>
      <c r="H52" s="217">
        <v>6.5000000000000002E-2</v>
      </c>
      <c r="I52" s="217">
        <v>6.5000000000000002E-2</v>
      </c>
      <c r="J52" s="217">
        <v>6.5000000000000002E-2</v>
      </c>
      <c r="K52" s="217">
        <v>6.5000000000000002E-2</v>
      </c>
      <c r="L52" s="217">
        <v>6.5000000000000002E-2</v>
      </c>
    </row>
    <row r="53" spans="1:12" ht="48" x14ac:dyDescent="0.2">
      <c r="A53" s="8" t="s">
        <v>390</v>
      </c>
      <c r="B53" s="226" t="s">
        <v>157</v>
      </c>
      <c r="C53" s="217" t="s">
        <v>381</v>
      </c>
      <c r="D53" s="15" t="s">
        <v>4</v>
      </c>
      <c r="E53" s="15" t="s">
        <v>4</v>
      </c>
      <c r="F53" s="217">
        <v>1.107</v>
      </c>
      <c r="G53" s="217">
        <v>1.107</v>
      </c>
      <c r="H53" s="217">
        <v>1.107</v>
      </c>
      <c r="I53" s="217">
        <v>1.107</v>
      </c>
      <c r="J53" s="217">
        <v>1.107</v>
      </c>
      <c r="K53" s="217">
        <v>1.107</v>
      </c>
      <c r="L53" s="217">
        <v>1.107</v>
      </c>
    </row>
    <row r="54" spans="1:12" ht="48" x14ac:dyDescent="0.2">
      <c r="A54" s="8" t="s">
        <v>391</v>
      </c>
      <c r="B54" s="226" t="s">
        <v>158</v>
      </c>
      <c r="C54" s="217" t="s">
        <v>381</v>
      </c>
      <c r="D54" s="15" t="s">
        <v>4</v>
      </c>
      <c r="E54" s="15" t="s">
        <v>4</v>
      </c>
      <c r="F54" s="217">
        <v>0.94199999999999995</v>
      </c>
      <c r="G54" s="217">
        <v>0.94199999999999995</v>
      </c>
      <c r="H54" s="217">
        <v>0.94199999999999995</v>
      </c>
      <c r="I54" s="217">
        <v>0.94199999999999995</v>
      </c>
      <c r="J54" s="217">
        <v>0.94199999999999995</v>
      </c>
      <c r="K54" s="217">
        <v>0.94199999999999995</v>
      </c>
      <c r="L54" s="217">
        <v>0.94199999999999995</v>
      </c>
    </row>
    <row r="55" spans="1:12" ht="48" x14ac:dyDescent="0.2">
      <c r="A55" s="8" t="s">
        <v>392</v>
      </c>
      <c r="B55" s="226" t="s">
        <v>159</v>
      </c>
      <c r="C55" s="217" t="s">
        <v>381</v>
      </c>
      <c r="D55" s="15" t="s">
        <v>4</v>
      </c>
      <c r="E55" s="15" t="s">
        <v>4</v>
      </c>
      <c r="F55" s="217">
        <v>0.106</v>
      </c>
      <c r="G55" s="217">
        <v>0.106</v>
      </c>
      <c r="H55" s="217">
        <v>0.106</v>
      </c>
      <c r="I55" s="217">
        <v>0.106</v>
      </c>
      <c r="J55" s="217">
        <v>0.106</v>
      </c>
      <c r="K55" s="217">
        <v>0.106</v>
      </c>
      <c r="L55" s="217">
        <v>0.106</v>
      </c>
    </row>
    <row r="56" spans="1:12" ht="48" x14ac:dyDescent="0.2">
      <c r="A56" s="8" t="s">
        <v>393</v>
      </c>
      <c r="B56" s="226" t="s">
        <v>160</v>
      </c>
      <c r="C56" s="217" t="s">
        <v>381</v>
      </c>
      <c r="D56" s="15" t="s">
        <v>4</v>
      </c>
      <c r="E56" s="15" t="s">
        <v>4</v>
      </c>
      <c r="F56" s="217">
        <v>0.34200000000000003</v>
      </c>
      <c r="G56" s="217">
        <v>0.34200000000000003</v>
      </c>
      <c r="H56" s="217">
        <v>0.34200000000000003</v>
      </c>
      <c r="I56" s="217">
        <v>0.34200000000000003</v>
      </c>
      <c r="J56" s="217">
        <v>0.34200000000000003</v>
      </c>
      <c r="K56" s="217">
        <v>0.34200000000000003</v>
      </c>
      <c r="L56" s="217">
        <v>0.34200000000000003</v>
      </c>
    </row>
    <row r="57" spans="1:12" ht="48" x14ac:dyDescent="0.2">
      <c r="A57" s="8" t="s">
        <v>394</v>
      </c>
      <c r="B57" s="226" t="s">
        <v>161</v>
      </c>
      <c r="C57" s="217" t="s">
        <v>381</v>
      </c>
      <c r="D57" s="15" t="s">
        <v>4</v>
      </c>
      <c r="E57" s="15" t="s">
        <v>4</v>
      </c>
      <c r="F57" s="217">
        <v>0.35299999999999998</v>
      </c>
      <c r="G57" s="217">
        <v>0.35299999999999998</v>
      </c>
      <c r="H57" s="217">
        <v>0.35299999999999998</v>
      </c>
      <c r="I57" s="217">
        <v>0.35299999999999998</v>
      </c>
      <c r="J57" s="217">
        <v>0.35299999999999998</v>
      </c>
      <c r="K57" s="217">
        <v>0.35299999999999998</v>
      </c>
      <c r="L57" s="217">
        <v>0.35299999999999998</v>
      </c>
    </row>
    <row r="58" spans="1:12" ht="60" x14ac:dyDescent="0.2">
      <c r="A58" s="8" t="s">
        <v>395</v>
      </c>
      <c r="B58" s="226" t="s">
        <v>162</v>
      </c>
      <c r="C58" s="217" t="s">
        <v>381</v>
      </c>
      <c r="D58" s="15" t="s">
        <v>4</v>
      </c>
      <c r="E58" s="15" t="s">
        <v>4</v>
      </c>
      <c r="F58" s="217">
        <v>0.27600000000000002</v>
      </c>
      <c r="G58" s="217">
        <v>0.27600000000000002</v>
      </c>
      <c r="H58" s="217">
        <v>0.27600000000000002</v>
      </c>
      <c r="I58" s="217">
        <v>0.27600000000000002</v>
      </c>
      <c r="J58" s="217">
        <v>0.27600000000000002</v>
      </c>
      <c r="K58" s="217">
        <v>0.27600000000000002</v>
      </c>
      <c r="L58" s="217">
        <v>0.27600000000000002</v>
      </c>
    </row>
    <row r="59" spans="1:12" ht="66.75" customHeight="1" x14ac:dyDescent="0.2">
      <c r="A59" s="219">
        <v>7</v>
      </c>
      <c r="B59" s="219" t="s">
        <v>326</v>
      </c>
      <c r="C59" s="219" t="s">
        <v>333</v>
      </c>
      <c r="D59" s="15" t="s">
        <v>4</v>
      </c>
      <c r="E59" s="15" t="s">
        <v>4</v>
      </c>
      <c r="F59" s="16" t="s">
        <v>4</v>
      </c>
      <c r="G59" s="15" t="s">
        <v>4</v>
      </c>
      <c r="H59" s="15" t="s">
        <v>4</v>
      </c>
      <c r="I59" s="15" t="s">
        <v>4</v>
      </c>
      <c r="J59" s="15" t="s">
        <v>4</v>
      </c>
      <c r="K59" s="15" t="s">
        <v>4</v>
      </c>
      <c r="L59" s="15" t="s">
        <v>4</v>
      </c>
    </row>
    <row r="60" spans="1:12" x14ac:dyDescent="0.2">
      <c r="A60" s="219" t="s">
        <v>327</v>
      </c>
      <c r="B60" s="114" t="s">
        <v>328</v>
      </c>
      <c r="C60" s="114" t="s">
        <v>12</v>
      </c>
      <c r="D60" s="15" t="s">
        <v>4</v>
      </c>
      <c r="E60" s="15" t="s">
        <v>4</v>
      </c>
      <c r="F60" s="15" t="s">
        <v>4</v>
      </c>
      <c r="G60" s="15" t="s">
        <v>4</v>
      </c>
      <c r="H60" s="15" t="s">
        <v>4</v>
      </c>
      <c r="I60" s="15" t="s">
        <v>4</v>
      </c>
      <c r="J60" s="15" t="s">
        <v>4</v>
      </c>
      <c r="K60" s="15" t="s">
        <v>4</v>
      </c>
      <c r="L60" s="15" t="s">
        <v>4</v>
      </c>
    </row>
    <row r="61" spans="1:12" ht="12.75" customHeight="1" x14ac:dyDescent="0.2">
      <c r="A61" s="219" t="s">
        <v>329</v>
      </c>
      <c r="B61" s="114" t="s">
        <v>332</v>
      </c>
      <c r="C61" s="114" t="s">
        <v>12</v>
      </c>
      <c r="D61" s="15" t="s">
        <v>4</v>
      </c>
      <c r="E61" s="15" t="s">
        <v>4</v>
      </c>
      <c r="F61" s="15" t="s">
        <v>4</v>
      </c>
      <c r="G61" s="15" t="s">
        <v>4</v>
      </c>
      <c r="H61" s="15" t="s">
        <v>4</v>
      </c>
      <c r="I61" s="15" t="s">
        <v>4</v>
      </c>
      <c r="J61" s="15" t="s">
        <v>4</v>
      </c>
      <c r="K61" s="15" t="s">
        <v>4</v>
      </c>
      <c r="L61" s="15" t="s">
        <v>4</v>
      </c>
    </row>
    <row r="62" spans="1:12" ht="12.75" customHeight="1" x14ac:dyDescent="0.2">
      <c r="A62" s="219" t="s">
        <v>330</v>
      </c>
      <c r="B62" s="114" t="s">
        <v>331</v>
      </c>
      <c r="C62" s="114" t="s">
        <v>12</v>
      </c>
      <c r="D62" s="15" t="s">
        <v>4</v>
      </c>
      <c r="E62" s="15" t="s">
        <v>4</v>
      </c>
      <c r="F62" s="15" t="s">
        <v>4</v>
      </c>
      <c r="G62" s="15" t="s">
        <v>4</v>
      </c>
      <c r="H62" s="15" t="s">
        <v>4</v>
      </c>
      <c r="I62" s="15" t="s">
        <v>4</v>
      </c>
      <c r="J62" s="15" t="s">
        <v>4</v>
      </c>
      <c r="K62" s="15" t="s">
        <v>4</v>
      </c>
      <c r="L62" s="15" t="s">
        <v>4</v>
      </c>
    </row>
    <row r="64" spans="1:12" s="1" customFormat="1" ht="15.75" x14ac:dyDescent="0.25">
      <c r="A64" s="237"/>
      <c r="B64" s="237"/>
      <c r="C64" s="267"/>
      <c r="D64" s="267"/>
      <c r="E64" s="267"/>
      <c r="F64" s="267"/>
    </row>
    <row r="65" s="1" customFormat="1" ht="15.75" customHeight="1" x14ac:dyDescent="0.25"/>
  </sheetData>
  <mergeCells count="28">
    <mergeCell ref="A64:F64"/>
    <mergeCell ref="A15:A16"/>
    <mergeCell ref="B15:B16"/>
    <mergeCell ref="A19:A20"/>
    <mergeCell ref="B19:B20"/>
    <mergeCell ref="A43:A44"/>
    <mergeCell ref="B43:B44"/>
    <mergeCell ref="A21:A22"/>
    <mergeCell ref="B21:B22"/>
    <mergeCell ref="A45:A46"/>
    <mergeCell ref="B45:B46"/>
    <mergeCell ref="A39:A41"/>
    <mergeCell ref="B39:B41"/>
    <mergeCell ref="C39:C41"/>
    <mergeCell ref="D39:D41"/>
    <mergeCell ref="E39:E41"/>
    <mergeCell ref="F39:L39"/>
    <mergeCell ref="F40:L40"/>
    <mergeCell ref="A6:L6"/>
    <mergeCell ref="A7:L7"/>
    <mergeCell ref="A8:L8"/>
    <mergeCell ref="A10:A12"/>
    <mergeCell ref="B10:B12"/>
    <mergeCell ref="C10:C12"/>
    <mergeCell ref="D10:D12"/>
    <mergeCell ref="E10:E12"/>
    <mergeCell ref="F10:L10"/>
    <mergeCell ref="F11:L11"/>
  </mergeCells>
  <pageMargins left="0.31496062992125984" right="0.31496062992125984" top="0.74803149606299213" bottom="0.74803149606299213" header="0.31496062992125984" footer="0.31496062992125984"/>
  <pageSetup paperSize="9" scale="56" fitToHeight="9" orientation="portrait" verticalDpi="0" r:id="rId1"/>
  <rowBreaks count="1" manualBreakCount="1">
    <brk id="34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H33"/>
  <sheetViews>
    <sheetView view="pageBreakPreview" topLeftCell="T1" zoomScale="75" zoomScaleNormal="100" zoomScaleSheetLayoutView="75" workbookViewId="0">
      <selection activeCell="AY1" sqref="AY1"/>
    </sheetView>
  </sheetViews>
  <sheetFormatPr defaultColWidth="9.140625" defaultRowHeight="15" x14ac:dyDescent="0.25"/>
  <cols>
    <col min="1" max="1" width="6" style="112" customWidth="1"/>
    <col min="2" max="2" width="47" style="112" customWidth="1"/>
    <col min="3" max="3" width="7.28515625" style="112" customWidth="1"/>
    <col min="4" max="14" width="3.7109375" style="112" customWidth="1"/>
    <col min="15" max="15" width="9.28515625" style="112" customWidth="1"/>
    <col min="16" max="26" width="3.7109375" style="112" customWidth="1"/>
    <col min="27" max="27" width="7.85546875" style="112" customWidth="1"/>
    <col min="28" max="34" width="3.7109375" style="112" customWidth="1"/>
    <col min="35" max="35" width="3.42578125" style="112" customWidth="1"/>
    <col min="36" max="36" width="3.28515625" style="112" customWidth="1"/>
    <col min="37" max="38" width="3.42578125" style="112" customWidth="1"/>
    <col min="39" max="39" width="10" style="112" customWidth="1"/>
    <col min="40" max="50" width="3.7109375" style="112" customWidth="1"/>
    <col min="51" max="51" width="9.85546875" style="112" customWidth="1"/>
    <col min="52" max="62" width="3.7109375" style="112" customWidth="1"/>
    <col min="63" max="63" width="9.42578125" style="112" customWidth="1"/>
    <col min="64" max="74" width="3.7109375" style="112" customWidth="1"/>
    <col min="75" max="75" width="10.42578125" style="112" customWidth="1"/>
    <col min="76" max="86" width="4.42578125" style="112" customWidth="1"/>
    <col min="87" max="16384" width="9.140625" style="112"/>
  </cols>
  <sheetData>
    <row r="1" spans="1:86" ht="15.75" x14ac:dyDescent="0.25">
      <c r="A1" s="203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" t="s">
        <v>403</v>
      </c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171"/>
      <c r="CH1" s="2" t="str">
        <f>AY1</f>
        <v xml:space="preserve">Приложение 1/4 к протоколу заседания Правления Департамента энергетики </v>
      </c>
    </row>
    <row r="2" spans="1:86" ht="15.75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3"/>
      <c r="AA2" s="203"/>
      <c r="AB2" s="203"/>
      <c r="AC2" s="203"/>
      <c r="AD2" s="203"/>
      <c r="AE2" s="203"/>
      <c r="AF2" s="203"/>
      <c r="AG2" s="203"/>
      <c r="AH2" s="203"/>
      <c r="AI2" s="203"/>
      <c r="AJ2" s="203"/>
      <c r="AK2" s="203"/>
      <c r="AL2" s="203"/>
      <c r="AM2" s="203"/>
      <c r="AN2" s="203"/>
      <c r="AO2" s="203"/>
      <c r="AP2" s="203"/>
      <c r="AQ2" s="203"/>
      <c r="AR2" s="203"/>
      <c r="AS2" s="203"/>
      <c r="AT2" s="203"/>
      <c r="AU2" s="203"/>
      <c r="AV2" s="203"/>
      <c r="AW2" s="203"/>
      <c r="AX2" s="203"/>
      <c r="AY2" s="2" t="str">
        <f>'№3 ИП-ТС'!L2</f>
        <v>и тарифов Ивановской области от 13.12.2024 № 50/9</v>
      </c>
      <c r="BA2" s="203"/>
      <c r="BB2" s="203"/>
      <c r="BC2" s="203"/>
      <c r="BD2" s="203"/>
      <c r="BE2" s="203"/>
      <c r="BF2" s="203"/>
      <c r="BG2" s="203"/>
      <c r="BH2" s="203"/>
      <c r="BI2" s="203"/>
      <c r="BJ2" s="203"/>
      <c r="BK2" s="203"/>
      <c r="BL2" s="203"/>
      <c r="BM2" s="203"/>
      <c r="BN2" s="203"/>
      <c r="BO2" s="203"/>
      <c r="BP2" s="203"/>
      <c r="BQ2" s="203"/>
      <c r="BR2" s="203"/>
      <c r="BS2" s="203"/>
      <c r="BT2" s="203"/>
      <c r="BU2" s="203"/>
      <c r="BV2" s="203"/>
      <c r="BW2" s="203"/>
      <c r="BX2" s="203"/>
      <c r="BY2" s="203"/>
      <c r="BZ2" s="203"/>
      <c r="CA2" s="203"/>
      <c r="CB2" s="203"/>
      <c r="CC2" s="203"/>
      <c r="CD2" s="203"/>
      <c r="CE2" s="203"/>
      <c r="CF2" s="203"/>
      <c r="CG2" s="171"/>
      <c r="CH2" s="2" t="str">
        <f>'№3 ИП-ТС'!L2</f>
        <v>и тарифов Ивановской области от 13.12.2024 № 50/9</v>
      </c>
    </row>
    <row r="3" spans="1:86" ht="15.75" x14ac:dyDescent="0.25">
      <c r="A3" s="203"/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4" t="s">
        <v>344</v>
      </c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171"/>
      <c r="CH3" s="2"/>
    </row>
    <row r="4" spans="1:86" s="29" customFormat="1" ht="15.75" customHeight="1" x14ac:dyDescent="0.25">
      <c r="A4" s="269" t="s">
        <v>228</v>
      </c>
      <c r="B4" s="269"/>
      <c r="C4" s="269"/>
      <c r="D4" s="269"/>
      <c r="E4" s="269"/>
      <c r="F4" s="269"/>
      <c r="G4" s="269"/>
      <c r="H4" s="269"/>
      <c r="I4" s="269"/>
      <c r="J4" s="269"/>
      <c r="K4" s="269"/>
      <c r="L4" s="269"/>
      <c r="M4" s="269"/>
      <c r="N4" s="269"/>
      <c r="O4" s="269"/>
      <c r="P4" s="269"/>
      <c r="Q4" s="269"/>
      <c r="R4" s="269"/>
      <c r="S4" s="269"/>
      <c r="T4" s="269"/>
      <c r="U4" s="269"/>
      <c r="V4" s="269"/>
      <c r="W4" s="269"/>
      <c r="X4" s="269"/>
      <c r="Y4" s="269"/>
      <c r="Z4" s="269"/>
      <c r="AA4" s="269"/>
      <c r="AB4" s="269"/>
      <c r="AC4" s="269"/>
      <c r="AD4" s="269"/>
      <c r="AE4" s="269"/>
      <c r="AF4" s="269"/>
      <c r="AG4" s="269"/>
      <c r="AH4" s="269"/>
      <c r="AI4" s="269"/>
      <c r="AJ4" s="269"/>
      <c r="AK4" s="269"/>
      <c r="AL4" s="269"/>
      <c r="AM4" s="269"/>
      <c r="AN4" s="269"/>
      <c r="AO4" s="269"/>
      <c r="AP4" s="269"/>
      <c r="AQ4" s="269"/>
      <c r="AR4" s="269"/>
      <c r="AS4" s="269"/>
      <c r="AT4" s="269"/>
      <c r="AU4" s="269"/>
      <c r="AV4" s="269"/>
      <c r="AW4" s="269"/>
      <c r="AX4" s="269"/>
      <c r="AY4" s="269"/>
      <c r="AZ4" s="227"/>
      <c r="BA4" s="227"/>
      <c r="BB4" s="227"/>
      <c r="BC4" s="227"/>
      <c r="BD4" s="227"/>
      <c r="BE4" s="227"/>
      <c r="BF4" s="227"/>
      <c r="BG4" s="227"/>
      <c r="BH4" s="227"/>
      <c r="BI4" s="227"/>
      <c r="BJ4" s="227"/>
      <c r="BK4" s="227"/>
      <c r="BL4" s="227"/>
      <c r="BM4" s="227"/>
      <c r="BN4" s="227"/>
      <c r="BO4" s="227"/>
      <c r="BP4" s="227"/>
      <c r="BQ4" s="227"/>
      <c r="BR4" s="227"/>
      <c r="BS4" s="227"/>
      <c r="BT4" s="227"/>
      <c r="BU4" s="227"/>
      <c r="BV4" s="227"/>
      <c r="BW4" s="227"/>
      <c r="BX4" s="227"/>
      <c r="CG4" s="1"/>
      <c r="CH4" s="205" t="s">
        <v>396</v>
      </c>
    </row>
    <row r="5" spans="1:86" s="29" customFormat="1" ht="15.75" x14ac:dyDescent="0.25">
      <c r="A5" s="269" t="s">
        <v>212</v>
      </c>
      <c r="B5" s="269"/>
      <c r="C5" s="269"/>
      <c r="D5" s="269"/>
      <c r="E5" s="269"/>
      <c r="F5" s="269"/>
      <c r="G5" s="269"/>
      <c r="H5" s="269"/>
      <c r="I5" s="269"/>
      <c r="J5" s="269"/>
      <c r="K5" s="269"/>
      <c r="L5" s="269"/>
      <c r="M5" s="269"/>
      <c r="N5" s="269"/>
      <c r="O5" s="269"/>
      <c r="P5" s="269"/>
      <c r="Q5" s="269"/>
      <c r="R5" s="269"/>
      <c r="S5" s="269"/>
      <c r="T5" s="269"/>
      <c r="U5" s="269"/>
      <c r="V5" s="269"/>
      <c r="W5" s="269"/>
      <c r="X5" s="269"/>
      <c r="Y5" s="269"/>
      <c r="Z5" s="269"/>
      <c r="AA5" s="269"/>
      <c r="AB5" s="269"/>
      <c r="AC5" s="269"/>
      <c r="AD5" s="269"/>
      <c r="AE5" s="269"/>
      <c r="AF5" s="269"/>
      <c r="AG5" s="269"/>
      <c r="AH5" s="269"/>
      <c r="AI5" s="269"/>
      <c r="AJ5" s="269"/>
      <c r="AK5" s="269"/>
      <c r="AL5" s="269"/>
      <c r="AM5" s="269"/>
      <c r="AN5" s="269"/>
      <c r="AO5" s="269"/>
      <c r="AP5" s="269"/>
      <c r="AQ5" s="269"/>
      <c r="AR5" s="269"/>
      <c r="AS5" s="269"/>
      <c r="AT5" s="269"/>
      <c r="AU5" s="269"/>
      <c r="AV5" s="269"/>
      <c r="AW5" s="269"/>
      <c r="AX5" s="269"/>
      <c r="AY5" s="269"/>
      <c r="AZ5" s="228"/>
      <c r="BA5" s="228"/>
      <c r="BB5" s="228"/>
      <c r="BC5" s="228"/>
      <c r="BD5" s="228"/>
      <c r="BE5" s="228"/>
      <c r="BF5" s="228"/>
      <c r="BG5" s="228"/>
      <c r="BH5" s="228"/>
      <c r="BI5" s="228"/>
      <c r="BJ5" s="228"/>
      <c r="BK5" s="228"/>
      <c r="BL5" s="228"/>
      <c r="BM5" s="228"/>
      <c r="BN5" s="228"/>
      <c r="BO5" s="228"/>
      <c r="BP5" s="228"/>
      <c r="BQ5" s="228"/>
      <c r="BR5" s="228"/>
      <c r="BS5" s="228"/>
      <c r="BT5" s="228"/>
      <c r="BU5" s="228"/>
      <c r="BV5" s="228"/>
      <c r="BW5" s="228"/>
      <c r="BX5" s="228"/>
    </row>
    <row r="6" spans="1:86" s="29" customFormat="1" ht="15.75" x14ac:dyDescent="0.25">
      <c r="A6" s="269" t="s">
        <v>193</v>
      </c>
      <c r="B6" s="269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69"/>
      <c r="AL6" s="269"/>
      <c r="AM6" s="269"/>
      <c r="AN6" s="269"/>
      <c r="AO6" s="269"/>
      <c r="AP6" s="269"/>
      <c r="AQ6" s="269"/>
      <c r="AR6" s="269"/>
      <c r="AS6" s="269"/>
      <c r="AT6" s="269"/>
      <c r="AU6" s="269"/>
      <c r="AV6" s="269"/>
      <c r="AW6" s="269"/>
      <c r="AX6" s="269"/>
      <c r="AY6" s="269"/>
      <c r="AZ6" s="229"/>
      <c r="BA6" s="229"/>
      <c r="BB6" s="229"/>
      <c r="BC6" s="229"/>
      <c r="BD6" s="229"/>
      <c r="BE6" s="229"/>
      <c r="BF6" s="229"/>
      <c r="BG6" s="229"/>
      <c r="BH6" s="229"/>
      <c r="BI6" s="229"/>
      <c r="BJ6" s="229"/>
      <c r="BK6" s="229"/>
      <c r="BL6" s="229"/>
      <c r="BM6" s="229"/>
      <c r="BN6" s="229"/>
      <c r="BO6" s="229"/>
      <c r="BP6" s="229"/>
      <c r="BQ6" s="229"/>
      <c r="BR6" s="229"/>
      <c r="BS6" s="229"/>
      <c r="BT6" s="229"/>
      <c r="BU6" s="229"/>
      <c r="BV6" s="229"/>
      <c r="BW6" s="229"/>
      <c r="BX6" s="229"/>
    </row>
    <row r="7" spans="1:86" x14ac:dyDescent="0.25">
      <c r="A7" s="275"/>
      <c r="B7" s="275"/>
      <c r="C7" s="275"/>
      <c r="D7" s="275"/>
      <c r="E7" s="275"/>
      <c r="F7" s="275"/>
      <c r="G7" s="275"/>
      <c r="H7" s="275"/>
      <c r="I7" s="275"/>
      <c r="J7" s="275"/>
      <c r="K7" s="275"/>
      <c r="L7" s="275"/>
      <c r="M7" s="275"/>
      <c r="N7" s="275"/>
      <c r="O7" s="275"/>
      <c r="P7" s="275"/>
      <c r="Q7" s="275"/>
      <c r="R7" s="275"/>
      <c r="S7" s="275"/>
      <c r="T7" s="275"/>
      <c r="U7" s="275"/>
      <c r="V7" s="275"/>
      <c r="W7" s="275"/>
      <c r="X7" s="275"/>
      <c r="Y7" s="275"/>
      <c r="Z7" s="275"/>
      <c r="AA7" s="275"/>
      <c r="AB7" s="275"/>
      <c r="AC7" s="275"/>
      <c r="AD7" s="275"/>
      <c r="AE7" s="275"/>
      <c r="AF7" s="275"/>
      <c r="AG7" s="275"/>
      <c r="AH7" s="275"/>
      <c r="AI7" s="275"/>
      <c r="AJ7" s="275"/>
      <c r="AK7" s="275"/>
      <c r="AL7" s="275"/>
      <c r="AM7" s="275"/>
      <c r="AN7" s="275"/>
      <c r="AO7" s="275"/>
      <c r="AP7" s="275"/>
      <c r="AQ7" s="275"/>
      <c r="AR7" s="275"/>
      <c r="AS7" s="275"/>
      <c r="AT7" s="275"/>
      <c r="AU7" s="275"/>
      <c r="AV7" s="275"/>
      <c r="AW7" s="275"/>
      <c r="AX7" s="275"/>
      <c r="AY7" s="275"/>
      <c r="AZ7" s="275"/>
      <c r="BA7" s="275"/>
      <c r="BB7" s="275"/>
      <c r="BC7" s="275"/>
      <c r="BD7" s="275"/>
      <c r="BE7" s="275"/>
      <c r="BF7" s="275"/>
      <c r="BG7" s="275"/>
      <c r="BH7" s="275"/>
      <c r="BI7" s="275"/>
      <c r="BJ7" s="275"/>
      <c r="BK7" s="275"/>
      <c r="BL7" s="275"/>
      <c r="BM7" s="275"/>
      <c r="BN7" s="275"/>
      <c r="BO7" s="275"/>
      <c r="BP7" s="275"/>
      <c r="BQ7" s="275"/>
      <c r="BR7" s="275"/>
      <c r="BS7" s="275"/>
      <c r="BT7" s="275"/>
      <c r="BU7" s="275"/>
      <c r="BV7" s="275"/>
      <c r="BW7" s="275"/>
      <c r="BX7" s="275"/>
      <c r="BY7" s="275"/>
      <c r="BZ7" s="275"/>
      <c r="CA7" s="275"/>
      <c r="CB7" s="275"/>
      <c r="CC7" s="275"/>
      <c r="CD7" s="275"/>
      <c r="CE7" s="275"/>
      <c r="CF7" s="275"/>
      <c r="CG7" s="275"/>
      <c r="CH7" s="275"/>
    </row>
    <row r="8" spans="1:86" ht="15" customHeight="1" x14ac:dyDescent="0.25">
      <c r="A8" s="284" t="s">
        <v>20</v>
      </c>
      <c r="B8" s="270" t="s">
        <v>229</v>
      </c>
      <c r="C8" s="283" t="s">
        <v>345</v>
      </c>
      <c r="D8" s="283"/>
      <c r="E8" s="283"/>
      <c r="F8" s="283"/>
      <c r="G8" s="283"/>
      <c r="H8" s="283"/>
      <c r="I8" s="283"/>
      <c r="J8" s="283"/>
      <c r="K8" s="283"/>
      <c r="L8" s="283"/>
      <c r="M8" s="283"/>
      <c r="N8" s="283"/>
      <c r="O8" s="283"/>
      <c r="P8" s="283"/>
      <c r="Q8" s="283"/>
      <c r="R8" s="283"/>
      <c r="S8" s="283"/>
      <c r="T8" s="283"/>
      <c r="U8" s="283"/>
      <c r="V8" s="283"/>
      <c r="W8" s="283"/>
      <c r="X8" s="283"/>
      <c r="Y8" s="283"/>
      <c r="Z8" s="283"/>
      <c r="AA8" s="285" t="s">
        <v>346</v>
      </c>
      <c r="AB8" s="286"/>
      <c r="AC8" s="286"/>
      <c r="AD8" s="286"/>
      <c r="AE8" s="286"/>
      <c r="AF8" s="286"/>
      <c r="AG8" s="286"/>
      <c r="AH8" s="286"/>
      <c r="AI8" s="286"/>
      <c r="AJ8" s="286"/>
      <c r="AK8" s="286"/>
      <c r="AL8" s="286"/>
      <c r="AM8" s="283" t="s">
        <v>346</v>
      </c>
      <c r="AN8" s="283"/>
      <c r="AO8" s="283"/>
      <c r="AP8" s="283"/>
      <c r="AQ8" s="283"/>
      <c r="AR8" s="283"/>
      <c r="AS8" s="283"/>
      <c r="AT8" s="283"/>
      <c r="AU8" s="283"/>
      <c r="AV8" s="283"/>
      <c r="AW8" s="283"/>
      <c r="AX8" s="283"/>
      <c r="AY8" s="283"/>
      <c r="AZ8" s="283"/>
      <c r="BA8" s="283"/>
      <c r="BB8" s="283"/>
      <c r="BC8" s="283"/>
      <c r="BD8" s="283"/>
      <c r="BE8" s="283"/>
      <c r="BF8" s="283"/>
      <c r="BG8" s="283"/>
      <c r="BH8" s="283"/>
      <c r="BI8" s="283"/>
      <c r="BJ8" s="283"/>
      <c r="BK8" s="283"/>
      <c r="BL8" s="283"/>
      <c r="BM8" s="283"/>
      <c r="BN8" s="283"/>
      <c r="BO8" s="283"/>
      <c r="BP8" s="283"/>
      <c r="BQ8" s="283"/>
      <c r="BR8" s="283"/>
      <c r="BS8" s="283"/>
      <c r="BT8" s="283"/>
      <c r="BU8" s="283"/>
      <c r="BV8" s="283"/>
      <c r="BW8" s="283"/>
      <c r="BX8" s="283"/>
      <c r="BY8" s="283"/>
      <c r="BZ8" s="283"/>
      <c r="CA8" s="283"/>
      <c r="CB8" s="283"/>
      <c r="CC8" s="283"/>
      <c r="CD8" s="283"/>
      <c r="CE8" s="283"/>
      <c r="CF8" s="283"/>
      <c r="CG8" s="283"/>
      <c r="CH8" s="283"/>
    </row>
    <row r="9" spans="1:86" ht="15" customHeight="1" x14ac:dyDescent="0.25">
      <c r="A9" s="284"/>
      <c r="B9" s="270"/>
      <c r="C9" s="276" t="s">
        <v>230</v>
      </c>
      <c r="D9" s="277"/>
      <c r="E9" s="277"/>
      <c r="F9" s="277"/>
      <c r="G9" s="277"/>
      <c r="H9" s="277"/>
      <c r="I9" s="277"/>
      <c r="J9" s="277"/>
      <c r="K9" s="277"/>
      <c r="L9" s="277"/>
      <c r="M9" s="277"/>
      <c r="N9" s="277"/>
      <c r="O9" s="276" t="s">
        <v>347</v>
      </c>
      <c r="P9" s="277"/>
      <c r="Q9" s="277"/>
      <c r="R9" s="277"/>
      <c r="S9" s="277"/>
      <c r="T9" s="277"/>
      <c r="U9" s="277"/>
      <c r="V9" s="277"/>
      <c r="W9" s="277"/>
      <c r="X9" s="277"/>
      <c r="Y9" s="277"/>
      <c r="Z9" s="277"/>
      <c r="AA9" s="276" t="s">
        <v>348</v>
      </c>
      <c r="AB9" s="277"/>
      <c r="AC9" s="277"/>
      <c r="AD9" s="277"/>
      <c r="AE9" s="277"/>
      <c r="AF9" s="277"/>
      <c r="AG9" s="277"/>
      <c r="AH9" s="277"/>
      <c r="AI9" s="277"/>
      <c r="AJ9" s="277"/>
      <c r="AK9" s="277"/>
      <c r="AL9" s="277"/>
      <c r="AM9" s="273" t="s">
        <v>349</v>
      </c>
      <c r="AN9" s="273"/>
      <c r="AO9" s="273"/>
      <c r="AP9" s="273"/>
      <c r="AQ9" s="273"/>
      <c r="AR9" s="273"/>
      <c r="AS9" s="273"/>
      <c r="AT9" s="273"/>
      <c r="AU9" s="273"/>
      <c r="AV9" s="273"/>
      <c r="AW9" s="273"/>
      <c r="AX9" s="273"/>
      <c r="AY9" s="274" t="s">
        <v>350</v>
      </c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3" t="s">
        <v>351</v>
      </c>
      <c r="BL9" s="273"/>
      <c r="BM9" s="273"/>
      <c r="BN9" s="273"/>
      <c r="BO9" s="273"/>
      <c r="BP9" s="273"/>
      <c r="BQ9" s="273"/>
      <c r="BR9" s="273"/>
      <c r="BS9" s="273"/>
      <c r="BT9" s="273"/>
      <c r="BU9" s="273"/>
      <c r="BV9" s="273"/>
      <c r="BW9" s="274" t="s">
        <v>352</v>
      </c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</row>
    <row r="10" spans="1:86" x14ac:dyDescent="0.25">
      <c r="A10" s="284"/>
      <c r="B10" s="270"/>
      <c r="C10" s="278"/>
      <c r="D10" s="279"/>
      <c r="E10" s="279"/>
      <c r="F10" s="279"/>
      <c r="G10" s="279"/>
      <c r="H10" s="279"/>
      <c r="I10" s="279"/>
      <c r="J10" s="279"/>
      <c r="K10" s="279"/>
      <c r="L10" s="279"/>
      <c r="M10" s="279"/>
      <c r="N10" s="279"/>
      <c r="O10" s="278"/>
      <c r="P10" s="279"/>
      <c r="Q10" s="279"/>
      <c r="R10" s="279"/>
      <c r="S10" s="279"/>
      <c r="T10" s="279"/>
      <c r="U10" s="279"/>
      <c r="V10" s="279"/>
      <c r="W10" s="279"/>
      <c r="X10" s="279"/>
      <c r="Y10" s="279"/>
      <c r="Z10" s="279"/>
      <c r="AA10" s="278"/>
      <c r="AB10" s="279"/>
      <c r="AC10" s="279"/>
      <c r="AD10" s="279"/>
      <c r="AE10" s="279"/>
      <c r="AF10" s="279"/>
      <c r="AG10" s="279"/>
      <c r="AH10" s="279"/>
      <c r="AI10" s="279"/>
      <c r="AJ10" s="279"/>
      <c r="AK10" s="279"/>
      <c r="AL10" s="279"/>
      <c r="AM10" s="273"/>
      <c r="AN10" s="273"/>
      <c r="AO10" s="273"/>
      <c r="AP10" s="273"/>
      <c r="AQ10" s="273"/>
      <c r="AR10" s="273"/>
      <c r="AS10" s="273"/>
      <c r="AT10" s="273"/>
      <c r="AU10" s="273"/>
      <c r="AV10" s="273"/>
      <c r="AW10" s="273"/>
      <c r="AX10" s="273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3"/>
      <c r="BL10" s="273"/>
      <c r="BM10" s="273"/>
      <c r="BN10" s="273"/>
      <c r="BO10" s="273"/>
      <c r="BP10" s="273"/>
      <c r="BQ10" s="273"/>
      <c r="BR10" s="273"/>
      <c r="BS10" s="273"/>
      <c r="BT10" s="273"/>
      <c r="BU10" s="273"/>
      <c r="BV10" s="273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</row>
    <row r="11" spans="1:86" ht="15" customHeight="1" x14ac:dyDescent="0.25">
      <c r="A11" s="284"/>
      <c r="B11" s="270"/>
      <c r="C11" s="280"/>
      <c r="D11" s="281"/>
      <c r="E11" s="281"/>
      <c r="F11" s="281"/>
      <c r="G11" s="281"/>
      <c r="H11" s="281"/>
      <c r="I11" s="281"/>
      <c r="J11" s="281"/>
      <c r="K11" s="281"/>
      <c r="L11" s="281"/>
      <c r="M11" s="281"/>
      <c r="N11" s="281"/>
      <c r="O11" s="280"/>
      <c r="P11" s="281"/>
      <c r="Q11" s="281"/>
      <c r="R11" s="281"/>
      <c r="S11" s="281"/>
      <c r="T11" s="281"/>
      <c r="U11" s="281"/>
      <c r="V11" s="281"/>
      <c r="W11" s="281"/>
      <c r="X11" s="281"/>
      <c r="Y11" s="281"/>
      <c r="Z11" s="281"/>
      <c r="AA11" s="280"/>
      <c r="AB11" s="281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73"/>
      <c r="AN11" s="273"/>
      <c r="AO11" s="273"/>
      <c r="AP11" s="273"/>
      <c r="AQ11" s="273"/>
      <c r="AR11" s="273"/>
      <c r="AS11" s="273"/>
      <c r="AT11" s="273"/>
      <c r="AU11" s="273"/>
      <c r="AV11" s="273"/>
      <c r="AW11" s="273"/>
      <c r="AX11" s="273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3"/>
      <c r="BL11" s="273"/>
      <c r="BM11" s="273"/>
      <c r="BN11" s="273"/>
      <c r="BO11" s="273"/>
      <c r="BP11" s="273"/>
      <c r="BQ11" s="273"/>
      <c r="BR11" s="273"/>
      <c r="BS11" s="273"/>
      <c r="BT11" s="273"/>
      <c r="BU11" s="273"/>
      <c r="BV11" s="273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</row>
    <row r="12" spans="1:86" ht="15" customHeight="1" x14ac:dyDescent="0.25">
      <c r="A12" s="284"/>
      <c r="B12" s="270"/>
      <c r="C12" s="270" t="s">
        <v>231</v>
      </c>
      <c r="D12" s="271" t="s">
        <v>232</v>
      </c>
      <c r="E12" s="272"/>
      <c r="F12" s="272"/>
      <c r="G12" s="272"/>
      <c r="H12" s="272"/>
      <c r="I12" s="272"/>
      <c r="J12" s="272"/>
      <c r="K12" s="272"/>
      <c r="L12" s="272"/>
      <c r="M12" s="272"/>
      <c r="N12" s="272"/>
      <c r="O12" s="270" t="s">
        <v>231</v>
      </c>
      <c r="P12" s="271" t="s">
        <v>232</v>
      </c>
      <c r="Q12" s="272"/>
      <c r="R12" s="272"/>
      <c r="S12" s="272"/>
      <c r="T12" s="272"/>
      <c r="U12" s="272"/>
      <c r="V12" s="272"/>
      <c r="W12" s="272"/>
      <c r="X12" s="272"/>
      <c r="Y12" s="272"/>
      <c r="Z12" s="272"/>
      <c r="AA12" s="270" t="s">
        <v>231</v>
      </c>
      <c r="AB12" s="271" t="s">
        <v>232</v>
      </c>
      <c r="AC12" s="272"/>
      <c r="AD12" s="272"/>
      <c r="AE12" s="272"/>
      <c r="AF12" s="272"/>
      <c r="AG12" s="272"/>
      <c r="AH12" s="272"/>
      <c r="AI12" s="272"/>
      <c r="AJ12" s="272"/>
      <c r="AK12" s="272"/>
      <c r="AL12" s="272"/>
      <c r="AM12" s="270" t="s">
        <v>231</v>
      </c>
      <c r="AN12" s="270" t="s">
        <v>232</v>
      </c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 t="s">
        <v>231</v>
      </c>
      <c r="AZ12" s="283" t="s">
        <v>232</v>
      </c>
      <c r="BA12" s="283"/>
      <c r="BB12" s="283"/>
      <c r="BC12" s="283"/>
      <c r="BD12" s="283"/>
      <c r="BE12" s="283"/>
      <c r="BF12" s="283"/>
      <c r="BG12" s="283"/>
      <c r="BH12" s="283"/>
      <c r="BI12" s="283"/>
      <c r="BJ12" s="283"/>
      <c r="BK12" s="270" t="s">
        <v>231</v>
      </c>
      <c r="BL12" s="270" t="str">
        <f>AZ12</f>
        <v>Плановое значение</v>
      </c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 t="s">
        <v>231</v>
      </c>
      <c r="BX12" s="283" t="s">
        <v>232</v>
      </c>
      <c r="BY12" s="283"/>
      <c r="BZ12" s="283"/>
      <c r="CA12" s="283"/>
      <c r="CB12" s="283"/>
      <c r="CC12" s="283"/>
      <c r="CD12" s="283"/>
      <c r="CE12" s="283"/>
      <c r="CF12" s="283"/>
      <c r="CG12" s="283"/>
      <c r="CH12" s="283"/>
    </row>
    <row r="13" spans="1:86" s="206" customFormat="1" ht="52.5" customHeight="1" x14ac:dyDescent="0.25">
      <c r="A13" s="284"/>
      <c r="B13" s="270"/>
      <c r="C13" s="270"/>
      <c r="D13" s="115">
        <v>2024</v>
      </c>
      <c r="E13" s="115">
        <f>D13+1</f>
        <v>2025</v>
      </c>
      <c r="F13" s="115">
        <f t="shared" ref="F13:M13" si="0">E13+1</f>
        <v>2026</v>
      </c>
      <c r="G13" s="115">
        <f t="shared" si="0"/>
        <v>2027</v>
      </c>
      <c r="H13" s="115">
        <f t="shared" si="0"/>
        <v>2028</v>
      </c>
      <c r="I13" s="115">
        <f t="shared" si="0"/>
        <v>2029</v>
      </c>
      <c r="J13" s="115">
        <f t="shared" si="0"/>
        <v>2030</v>
      </c>
      <c r="K13" s="115">
        <f t="shared" si="0"/>
        <v>2031</v>
      </c>
      <c r="L13" s="115">
        <f t="shared" si="0"/>
        <v>2032</v>
      </c>
      <c r="M13" s="115">
        <f t="shared" si="0"/>
        <v>2033</v>
      </c>
      <c r="N13" s="115" t="s">
        <v>353</v>
      </c>
      <c r="O13" s="270"/>
      <c r="P13" s="115">
        <f t="shared" ref="P13:Z13" si="1">D13</f>
        <v>2024</v>
      </c>
      <c r="Q13" s="115">
        <f t="shared" si="1"/>
        <v>2025</v>
      </c>
      <c r="R13" s="115">
        <f t="shared" si="1"/>
        <v>2026</v>
      </c>
      <c r="S13" s="115">
        <f t="shared" si="1"/>
        <v>2027</v>
      </c>
      <c r="T13" s="115">
        <f t="shared" si="1"/>
        <v>2028</v>
      </c>
      <c r="U13" s="115">
        <f t="shared" si="1"/>
        <v>2029</v>
      </c>
      <c r="V13" s="115">
        <f t="shared" si="1"/>
        <v>2030</v>
      </c>
      <c r="W13" s="115">
        <f t="shared" si="1"/>
        <v>2031</v>
      </c>
      <c r="X13" s="115">
        <f t="shared" si="1"/>
        <v>2032</v>
      </c>
      <c r="Y13" s="115">
        <f t="shared" si="1"/>
        <v>2033</v>
      </c>
      <c r="Z13" s="115" t="str">
        <f t="shared" si="1"/>
        <v>2034-2040</v>
      </c>
      <c r="AA13" s="270"/>
      <c r="AB13" s="115">
        <f t="shared" ref="AB13:AL13" si="2">P13</f>
        <v>2024</v>
      </c>
      <c r="AC13" s="115">
        <f t="shared" si="2"/>
        <v>2025</v>
      </c>
      <c r="AD13" s="115">
        <f t="shared" si="2"/>
        <v>2026</v>
      </c>
      <c r="AE13" s="115">
        <f t="shared" si="2"/>
        <v>2027</v>
      </c>
      <c r="AF13" s="115">
        <f t="shared" si="2"/>
        <v>2028</v>
      </c>
      <c r="AG13" s="115">
        <f t="shared" si="2"/>
        <v>2029</v>
      </c>
      <c r="AH13" s="115">
        <f t="shared" si="2"/>
        <v>2030</v>
      </c>
      <c r="AI13" s="115">
        <f t="shared" si="2"/>
        <v>2031</v>
      </c>
      <c r="AJ13" s="115">
        <f t="shared" si="2"/>
        <v>2032</v>
      </c>
      <c r="AK13" s="115">
        <f t="shared" si="2"/>
        <v>2033</v>
      </c>
      <c r="AL13" s="115" t="str">
        <f t="shared" si="2"/>
        <v>2034-2040</v>
      </c>
      <c r="AM13" s="270"/>
      <c r="AN13" s="115">
        <f t="shared" ref="AN13:AX13" si="3">AB13</f>
        <v>2024</v>
      </c>
      <c r="AO13" s="115">
        <f t="shared" si="3"/>
        <v>2025</v>
      </c>
      <c r="AP13" s="115">
        <f t="shared" si="3"/>
        <v>2026</v>
      </c>
      <c r="AQ13" s="115">
        <f t="shared" si="3"/>
        <v>2027</v>
      </c>
      <c r="AR13" s="115">
        <f t="shared" si="3"/>
        <v>2028</v>
      </c>
      <c r="AS13" s="115">
        <f t="shared" si="3"/>
        <v>2029</v>
      </c>
      <c r="AT13" s="115">
        <f t="shared" si="3"/>
        <v>2030</v>
      </c>
      <c r="AU13" s="115">
        <f t="shared" si="3"/>
        <v>2031</v>
      </c>
      <c r="AV13" s="115">
        <f t="shared" si="3"/>
        <v>2032</v>
      </c>
      <c r="AW13" s="115">
        <f t="shared" si="3"/>
        <v>2033</v>
      </c>
      <c r="AX13" s="115" t="str">
        <f t="shared" si="3"/>
        <v>2034-2040</v>
      </c>
      <c r="AY13" s="270"/>
      <c r="AZ13" s="115">
        <f t="shared" ref="AZ13:BJ13" si="4">AN13</f>
        <v>2024</v>
      </c>
      <c r="BA13" s="115">
        <f t="shared" si="4"/>
        <v>2025</v>
      </c>
      <c r="BB13" s="115">
        <f t="shared" si="4"/>
        <v>2026</v>
      </c>
      <c r="BC13" s="115">
        <f t="shared" si="4"/>
        <v>2027</v>
      </c>
      <c r="BD13" s="115">
        <f t="shared" si="4"/>
        <v>2028</v>
      </c>
      <c r="BE13" s="115">
        <f t="shared" si="4"/>
        <v>2029</v>
      </c>
      <c r="BF13" s="115">
        <f t="shared" si="4"/>
        <v>2030</v>
      </c>
      <c r="BG13" s="115">
        <f t="shared" si="4"/>
        <v>2031</v>
      </c>
      <c r="BH13" s="115">
        <f t="shared" si="4"/>
        <v>2032</v>
      </c>
      <c r="BI13" s="115">
        <f t="shared" si="4"/>
        <v>2033</v>
      </c>
      <c r="BJ13" s="115" t="str">
        <f t="shared" si="4"/>
        <v>2034-2040</v>
      </c>
      <c r="BK13" s="270"/>
      <c r="BL13" s="115">
        <f>AZ13</f>
        <v>2024</v>
      </c>
      <c r="BM13" s="115">
        <f t="shared" ref="BM13:BV13" si="5">BA13</f>
        <v>2025</v>
      </c>
      <c r="BN13" s="115">
        <f t="shared" si="5"/>
        <v>2026</v>
      </c>
      <c r="BO13" s="115">
        <f t="shared" si="5"/>
        <v>2027</v>
      </c>
      <c r="BP13" s="115">
        <f t="shared" si="5"/>
        <v>2028</v>
      </c>
      <c r="BQ13" s="115">
        <f t="shared" si="5"/>
        <v>2029</v>
      </c>
      <c r="BR13" s="115">
        <f t="shared" si="5"/>
        <v>2030</v>
      </c>
      <c r="BS13" s="115">
        <f t="shared" si="5"/>
        <v>2031</v>
      </c>
      <c r="BT13" s="115">
        <f t="shared" si="5"/>
        <v>2032</v>
      </c>
      <c r="BU13" s="115">
        <f t="shared" si="5"/>
        <v>2033</v>
      </c>
      <c r="BV13" s="115" t="str">
        <f t="shared" si="5"/>
        <v>2034-2040</v>
      </c>
      <c r="BW13" s="270"/>
      <c r="BX13" s="115">
        <f t="shared" ref="BX13:CH13" si="6">BL13</f>
        <v>2024</v>
      </c>
      <c r="BY13" s="115">
        <f t="shared" si="6"/>
        <v>2025</v>
      </c>
      <c r="BZ13" s="115">
        <f t="shared" si="6"/>
        <v>2026</v>
      </c>
      <c r="CA13" s="115">
        <f t="shared" si="6"/>
        <v>2027</v>
      </c>
      <c r="CB13" s="115">
        <f t="shared" si="6"/>
        <v>2028</v>
      </c>
      <c r="CC13" s="115">
        <f t="shared" si="6"/>
        <v>2029</v>
      </c>
      <c r="CD13" s="115">
        <f t="shared" si="6"/>
        <v>2030</v>
      </c>
      <c r="CE13" s="115">
        <f t="shared" si="6"/>
        <v>2031</v>
      </c>
      <c r="CF13" s="115">
        <f t="shared" si="6"/>
        <v>2032</v>
      </c>
      <c r="CG13" s="115">
        <f t="shared" si="6"/>
        <v>2033</v>
      </c>
      <c r="CH13" s="115" t="str">
        <f t="shared" si="6"/>
        <v>2034-2040</v>
      </c>
    </row>
    <row r="14" spans="1:86" ht="18.75" customHeight="1" x14ac:dyDescent="0.25">
      <c r="A14" s="116">
        <v>1</v>
      </c>
      <c r="B14" s="116">
        <f t="shared" ref="B14:BM14" si="7">A14+1</f>
        <v>2</v>
      </c>
      <c r="C14" s="116">
        <f t="shared" si="7"/>
        <v>3</v>
      </c>
      <c r="D14" s="116">
        <f t="shared" si="7"/>
        <v>4</v>
      </c>
      <c r="E14" s="116">
        <f t="shared" si="7"/>
        <v>5</v>
      </c>
      <c r="F14" s="116">
        <f t="shared" si="7"/>
        <v>6</v>
      </c>
      <c r="G14" s="116">
        <f t="shared" si="7"/>
        <v>7</v>
      </c>
      <c r="H14" s="116">
        <f t="shared" si="7"/>
        <v>8</v>
      </c>
      <c r="I14" s="116">
        <f t="shared" si="7"/>
        <v>9</v>
      </c>
      <c r="J14" s="116">
        <f t="shared" si="7"/>
        <v>10</v>
      </c>
      <c r="K14" s="116">
        <f t="shared" si="7"/>
        <v>11</v>
      </c>
      <c r="L14" s="116">
        <f t="shared" si="7"/>
        <v>12</v>
      </c>
      <c r="M14" s="116">
        <f t="shared" si="7"/>
        <v>13</v>
      </c>
      <c r="N14" s="116">
        <f t="shared" si="7"/>
        <v>14</v>
      </c>
      <c r="O14" s="116">
        <f t="shared" si="7"/>
        <v>15</v>
      </c>
      <c r="P14" s="116">
        <f t="shared" si="7"/>
        <v>16</v>
      </c>
      <c r="Q14" s="116">
        <f t="shared" si="7"/>
        <v>17</v>
      </c>
      <c r="R14" s="116">
        <f t="shared" si="7"/>
        <v>18</v>
      </c>
      <c r="S14" s="116">
        <f t="shared" si="7"/>
        <v>19</v>
      </c>
      <c r="T14" s="116">
        <f t="shared" si="7"/>
        <v>20</v>
      </c>
      <c r="U14" s="116">
        <f t="shared" si="7"/>
        <v>21</v>
      </c>
      <c r="V14" s="116">
        <f t="shared" si="7"/>
        <v>22</v>
      </c>
      <c r="W14" s="116">
        <f t="shared" si="7"/>
        <v>23</v>
      </c>
      <c r="X14" s="116">
        <f t="shared" si="7"/>
        <v>24</v>
      </c>
      <c r="Y14" s="116">
        <f t="shared" si="7"/>
        <v>25</v>
      </c>
      <c r="Z14" s="116">
        <f t="shared" si="7"/>
        <v>26</v>
      </c>
      <c r="AA14" s="116">
        <f t="shared" si="7"/>
        <v>27</v>
      </c>
      <c r="AB14" s="116">
        <f t="shared" si="7"/>
        <v>28</v>
      </c>
      <c r="AC14" s="116">
        <f t="shared" si="7"/>
        <v>29</v>
      </c>
      <c r="AD14" s="116">
        <f t="shared" si="7"/>
        <v>30</v>
      </c>
      <c r="AE14" s="116">
        <f t="shared" si="7"/>
        <v>31</v>
      </c>
      <c r="AF14" s="116">
        <f t="shared" si="7"/>
        <v>32</v>
      </c>
      <c r="AG14" s="116">
        <f t="shared" si="7"/>
        <v>33</v>
      </c>
      <c r="AH14" s="116">
        <f t="shared" si="7"/>
        <v>34</v>
      </c>
      <c r="AI14" s="116">
        <f t="shared" si="7"/>
        <v>35</v>
      </c>
      <c r="AJ14" s="116">
        <f t="shared" si="7"/>
        <v>36</v>
      </c>
      <c r="AK14" s="116">
        <f t="shared" si="7"/>
        <v>37</v>
      </c>
      <c r="AL14" s="116">
        <f t="shared" si="7"/>
        <v>38</v>
      </c>
      <c r="AM14" s="116">
        <f t="shared" si="7"/>
        <v>39</v>
      </c>
      <c r="AN14" s="116">
        <f t="shared" si="7"/>
        <v>40</v>
      </c>
      <c r="AO14" s="116">
        <f t="shared" si="7"/>
        <v>41</v>
      </c>
      <c r="AP14" s="116">
        <f t="shared" si="7"/>
        <v>42</v>
      </c>
      <c r="AQ14" s="116">
        <f t="shared" si="7"/>
        <v>43</v>
      </c>
      <c r="AR14" s="116">
        <f t="shared" si="7"/>
        <v>44</v>
      </c>
      <c r="AS14" s="116">
        <f t="shared" si="7"/>
        <v>45</v>
      </c>
      <c r="AT14" s="116">
        <f t="shared" si="7"/>
        <v>46</v>
      </c>
      <c r="AU14" s="116">
        <f t="shared" si="7"/>
        <v>47</v>
      </c>
      <c r="AV14" s="116">
        <f t="shared" si="7"/>
        <v>48</v>
      </c>
      <c r="AW14" s="116">
        <f t="shared" si="7"/>
        <v>49</v>
      </c>
      <c r="AX14" s="116">
        <f t="shared" si="7"/>
        <v>50</v>
      </c>
      <c r="AY14" s="116">
        <f t="shared" si="7"/>
        <v>51</v>
      </c>
      <c r="AZ14" s="116">
        <f t="shared" si="7"/>
        <v>52</v>
      </c>
      <c r="BA14" s="116">
        <f t="shared" si="7"/>
        <v>53</v>
      </c>
      <c r="BB14" s="116">
        <f t="shared" si="7"/>
        <v>54</v>
      </c>
      <c r="BC14" s="116">
        <f t="shared" si="7"/>
        <v>55</v>
      </c>
      <c r="BD14" s="116">
        <f t="shared" si="7"/>
        <v>56</v>
      </c>
      <c r="BE14" s="116">
        <f t="shared" si="7"/>
        <v>57</v>
      </c>
      <c r="BF14" s="116">
        <f t="shared" si="7"/>
        <v>58</v>
      </c>
      <c r="BG14" s="116">
        <f t="shared" si="7"/>
        <v>59</v>
      </c>
      <c r="BH14" s="116">
        <f t="shared" si="7"/>
        <v>60</v>
      </c>
      <c r="BI14" s="116">
        <f t="shared" si="7"/>
        <v>61</v>
      </c>
      <c r="BJ14" s="116">
        <f t="shared" si="7"/>
        <v>62</v>
      </c>
      <c r="BK14" s="116">
        <f t="shared" si="7"/>
        <v>63</v>
      </c>
      <c r="BL14" s="116">
        <f t="shared" si="7"/>
        <v>64</v>
      </c>
      <c r="BM14" s="116">
        <f t="shared" si="7"/>
        <v>65</v>
      </c>
      <c r="BN14" s="116">
        <f t="shared" ref="BN14:CH14" si="8">BM14+1</f>
        <v>66</v>
      </c>
      <c r="BO14" s="116">
        <f t="shared" si="8"/>
        <v>67</v>
      </c>
      <c r="BP14" s="116">
        <f t="shared" si="8"/>
        <v>68</v>
      </c>
      <c r="BQ14" s="116">
        <f t="shared" si="8"/>
        <v>69</v>
      </c>
      <c r="BR14" s="116">
        <f t="shared" si="8"/>
        <v>70</v>
      </c>
      <c r="BS14" s="116">
        <f t="shared" si="8"/>
        <v>71</v>
      </c>
      <c r="BT14" s="116">
        <f t="shared" si="8"/>
        <v>72</v>
      </c>
      <c r="BU14" s="116">
        <f t="shared" si="8"/>
        <v>73</v>
      </c>
      <c r="BV14" s="116">
        <f t="shared" si="8"/>
        <v>74</v>
      </c>
      <c r="BW14" s="116">
        <f t="shared" si="8"/>
        <v>75</v>
      </c>
      <c r="BX14" s="116">
        <f t="shared" si="8"/>
        <v>76</v>
      </c>
      <c r="BY14" s="116">
        <f t="shared" si="8"/>
        <v>77</v>
      </c>
      <c r="BZ14" s="116">
        <f t="shared" si="8"/>
        <v>78</v>
      </c>
      <c r="CA14" s="116">
        <f t="shared" si="8"/>
        <v>79</v>
      </c>
      <c r="CB14" s="116">
        <f t="shared" si="8"/>
        <v>80</v>
      </c>
      <c r="CC14" s="116">
        <f t="shared" si="8"/>
        <v>81</v>
      </c>
      <c r="CD14" s="116">
        <f t="shared" si="8"/>
        <v>82</v>
      </c>
      <c r="CE14" s="116">
        <f t="shared" si="8"/>
        <v>83</v>
      </c>
      <c r="CF14" s="116">
        <f t="shared" si="8"/>
        <v>84</v>
      </c>
      <c r="CG14" s="116">
        <f t="shared" si="8"/>
        <v>85</v>
      </c>
      <c r="CH14" s="116">
        <f t="shared" si="8"/>
        <v>86</v>
      </c>
    </row>
    <row r="15" spans="1:86" ht="36.75" customHeight="1" x14ac:dyDescent="0.25">
      <c r="A15" s="116" t="s">
        <v>2</v>
      </c>
      <c r="B15" s="116" t="s">
        <v>343</v>
      </c>
      <c r="C15" s="118" t="s">
        <v>4</v>
      </c>
      <c r="D15" s="118" t="s">
        <v>4</v>
      </c>
      <c r="E15" s="118" t="s">
        <v>4</v>
      </c>
      <c r="F15" s="118" t="s">
        <v>4</v>
      </c>
      <c r="G15" s="118" t="s">
        <v>4</v>
      </c>
      <c r="H15" s="118" t="s">
        <v>4</v>
      </c>
      <c r="I15" s="118" t="s">
        <v>4</v>
      </c>
      <c r="J15" s="118" t="s">
        <v>4</v>
      </c>
      <c r="K15" s="118" t="s">
        <v>4</v>
      </c>
      <c r="L15" s="118" t="s">
        <v>4</v>
      </c>
      <c r="M15" s="118" t="s">
        <v>4</v>
      </c>
      <c r="N15" s="118" t="s">
        <v>4</v>
      </c>
      <c r="O15" s="118" t="s">
        <v>4</v>
      </c>
      <c r="P15" s="118" t="s">
        <v>4</v>
      </c>
      <c r="Q15" s="118" t="s">
        <v>4</v>
      </c>
      <c r="R15" s="118" t="s">
        <v>4</v>
      </c>
      <c r="S15" s="118" t="s">
        <v>4</v>
      </c>
      <c r="T15" s="118" t="s">
        <v>4</v>
      </c>
      <c r="U15" s="118" t="s">
        <v>4</v>
      </c>
      <c r="V15" s="118" t="s">
        <v>4</v>
      </c>
      <c r="W15" s="118" t="s">
        <v>4</v>
      </c>
      <c r="X15" s="118" t="s">
        <v>4</v>
      </c>
      <c r="Y15" s="118" t="s">
        <v>4</v>
      </c>
      <c r="Z15" s="118" t="s">
        <v>4</v>
      </c>
      <c r="AA15" s="118" t="s">
        <v>354</v>
      </c>
      <c r="AB15" s="118">
        <v>156.80000000000001</v>
      </c>
      <c r="AC15" s="118">
        <v>156.80000000000001</v>
      </c>
      <c r="AD15" s="118">
        <v>156.80000000000001</v>
      </c>
      <c r="AE15" s="118">
        <v>156.80000000000001</v>
      </c>
      <c r="AF15" s="118">
        <v>156.80000000000001</v>
      </c>
      <c r="AG15" s="118">
        <v>155</v>
      </c>
      <c r="AH15" s="118">
        <v>152.30000000000001</v>
      </c>
      <c r="AI15" s="118">
        <v>152.30000000000001</v>
      </c>
      <c r="AJ15" s="118">
        <v>152.30000000000001</v>
      </c>
      <c r="AK15" s="118">
        <v>152.30000000000001</v>
      </c>
      <c r="AL15" s="118">
        <v>152.30000000000001</v>
      </c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6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6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6"/>
      <c r="CF15" s="116"/>
      <c r="CG15" s="116"/>
      <c r="CH15" s="116"/>
    </row>
    <row r="16" spans="1:86" ht="50.1" customHeight="1" x14ac:dyDescent="0.25">
      <c r="A16" s="117">
        <v>2</v>
      </c>
      <c r="B16" s="113" t="s">
        <v>357</v>
      </c>
      <c r="C16" s="118" t="s">
        <v>4</v>
      </c>
      <c r="D16" s="118" t="s">
        <v>4</v>
      </c>
      <c r="E16" s="118" t="s">
        <v>4</v>
      </c>
      <c r="F16" s="118" t="s">
        <v>4</v>
      </c>
      <c r="G16" s="118" t="s">
        <v>4</v>
      </c>
      <c r="H16" s="118" t="s">
        <v>4</v>
      </c>
      <c r="I16" s="118" t="s">
        <v>4</v>
      </c>
      <c r="J16" s="118" t="s">
        <v>4</v>
      </c>
      <c r="K16" s="118" t="s">
        <v>4</v>
      </c>
      <c r="L16" s="118" t="s">
        <v>4</v>
      </c>
      <c r="M16" s="118" t="s">
        <v>4</v>
      </c>
      <c r="N16" s="118" t="s">
        <v>4</v>
      </c>
      <c r="O16" s="118" t="s">
        <v>4</v>
      </c>
      <c r="P16" s="118" t="s">
        <v>4</v>
      </c>
      <c r="Q16" s="118" t="s">
        <v>4</v>
      </c>
      <c r="R16" s="118" t="s">
        <v>4</v>
      </c>
      <c r="S16" s="118" t="s">
        <v>4</v>
      </c>
      <c r="T16" s="118" t="s">
        <v>4</v>
      </c>
      <c r="U16" s="118" t="s">
        <v>4</v>
      </c>
      <c r="V16" s="118" t="s">
        <v>4</v>
      </c>
      <c r="W16" s="118" t="s">
        <v>4</v>
      </c>
      <c r="X16" s="118" t="s">
        <v>4</v>
      </c>
      <c r="Y16" s="118" t="s">
        <v>4</v>
      </c>
      <c r="Z16" s="118" t="s">
        <v>4</v>
      </c>
      <c r="AA16" s="118" t="s">
        <v>4</v>
      </c>
      <c r="AB16" s="118" t="s">
        <v>4</v>
      </c>
      <c r="AC16" s="118" t="s">
        <v>4</v>
      </c>
      <c r="AD16" s="118" t="s">
        <v>4</v>
      </c>
      <c r="AE16" s="118" t="s">
        <v>4</v>
      </c>
      <c r="AF16" s="118" t="s">
        <v>4</v>
      </c>
      <c r="AG16" s="118" t="s">
        <v>4</v>
      </c>
      <c r="AH16" s="118" t="s">
        <v>4</v>
      </c>
      <c r="AI16" s="118" t="s">
        <v>4</v>
      </c>
      <c r="AJ16" s="118" t="s">
        <v>4</v>
      </c>
      <c r="AK16" s="118" t="s">
        <v>4</v>
      </c>
      <c r="AL16" s="118" t="s">
        <v>4</v>
      </c>
      <c r="AM16" s="118">
        <f>BK16/106.67</f>
        <v>1.9940001874941407</v>
      </c>
      <c r="AN16" s="118">
        <f t="shared" ref="AN16:BJ16" si="9">BL16/106.67</f>
        <v>1.9940001874941407</v>
      </c>
      <c r="AO16" s="118">
        <f t="shared" si="9"/>
        <v>1.9940001874941407</v>
      </c>
      <c r="AP16" s="118">
        <f t="shared" si="9"/>
        <v>1.9940001874941407</v>
      </c>
      <c r="AQ16" s="118">
        <f t="shared" si="9"/>
        <v>1.9940001874941407</v>
      </c>
      <c r="AR16" s="118">
        <f t="shared" si="9"/>
        <v>1.488703478016312</v>
      </c>
      <c r="AS16" s="118">
        <f t="shared" si="9"/>
        <v>1.488703478016312</v>
      </c>
      <c r="AT16" s="118">
        <f t="shared" si="9"/>
        <v>1.488703478016312</v>
      </c>
      <c r="AU16" s="118">
        <f t="shared" si="9"/>
        <v>1.488703478016312</v>
      </c>
      <c r="AV16" s="118">
        <f t="shared" si="9"/>
        <v>1.488703478016312</v>
      </c>
      <c r="AW16" s="118">
        <f t="shared" si="9"/>
        <v>1.488703478016312</v>
      </c>
      <c r="AX16" s="118">
        <f t="shared" si="9"/>
        <v>1.488703478016312</v>
      </c>
      <c r="AY16" s="118">
        <f t="shared" si="9"/>
        <v>0.84466110434048924</v>
      </c>
      <c r="AZ16" s="118">
        <f t="shared" si="9"/>
        <v>0.84466110434048924</v>
      </c>
      <c r="BA16" s="118">
        <f t="shared" si="9"/>
        <v>0.84466110434048924</v>
      </c>
      <c r="BB16" s="118">
        <f t="shared" si="9"/>
        <v>0.84466110434048924</v>
      </c>
      <c r="BC16" s="118">
        <f t="shared" si="9"/>
        <v>0.84466110434048924</v>
      </c>
      <c r="BD16" s="118">
        <f t="shared" si="9"/>
        <v>0.84466110434048924</v>
      </c>
      <c r="BE16" s="118">
        <f t="shared" si="9"/>
        <v>0.84466110434048924</v>
      </c>
      <c r="BF16" s="118">
        <f t="shared" si="9"/>
        <v>0.84466110434048924</v>
      </c>
      <c r="BG16" s="118">
        <f t="shared" si="9"/>
        <v>0.84466110434048924</v>
      </c>
      <c r="BH16" s="118">
        <f t="shared" si="9"/>
        <v>0.84466110434048924</v>
      </c>
      <c r="BI16" s="118">
        <f t="shared" si="9"/>
        <v>0.84466110434048924</v>
      </c>
      <c r="BJ16" s="118">
        <f t="shared" si="9"/>
        <v>0.84466110434048924</v>
      </c>
      <c r="BK16" s="207">
        <v>212.7</v>
      </c>
      <c r="BL16" s="207">
        <v>212.7</v>
      </c>
      <c r="BM16" s="207">
        <v>212.7</v>
      </c>
      <c r="BN16" s="207">
        <v>212.7</v>
      </c>
      <c r="BO16" s="207">
        <v>212.7</v>
      </c>
      <c r="BP16" s="207">
        <v>158.80000000000001</v>
      </c>
      <c r="BQ16" s="207">
        <v>158.80000000000001</v>
      </c>
      <c r="BR16" s="207">
        <v>158.80000000000001</v>
      </c>
      <c r="BS16" s="207">
        <v>158.80000000000001</v>
      </c>
      <c r="BT16" s="207">
        <v>158.80000000000001</v>
      </c>
      <c r="BU16" s="207">
        <v>158.80000000000001</v>
      </c>
      <c r="BV16" s="207">
        <v>158.80000000000001</v>
      </c>
      <c r="BW16" s="207">
        <v>90.1</v>
      </c>
      <c r="BX16" s="207">
        <v>90.1</v>
      </c>
      <c r="BY16" s="207">
        <v>90.1</v>
      </c>
      <c r="BZ16" s="207">
        <v>90.1</v>
      </c>
      <c r="CA16" s="207">
        <v>90.1</v>
      </c>
      <c r="CB16" s="207">
        <v>90.1</v>
      </c>
      <c r="CC16" s="207">
        <v>90.1</v>
      </c>
      <c r="CD16" s="207">
        <v>90.1</v>
      </c>
      <c r="CE16" s="207">
        <v>90.1</v>
      </c>
      <c r="CF16" s="207">
        <v>90.1</v>
      </c>
      <c r="CG16" s="207">
        <v>90.1</v>
      </c>
      <c r="CH16" s="207">
        <v>90.1</v>
      </c>
    </row>
    <row r="17" spans="1:86" ht="50.1" customHeight="1" x14ac:dyDescent="0.25">
      <c r="A17" s="117" t="s">
        <v>356</v>
      </c>
      <c r="B17" s="113" t="s">
        <v>355</v>
      </c>
      <c r="C17" s="118" t="s">
        <v>4</v>
      </c>
      <c r="D17" s="118" t="s">
        <v>4</v>
      </c>
      <c r="E17" s="118" t="s">
        <v>4</v>
      </c>
      <c r="F17" s="118" t="s">
        <v>4</v>
      </c>
      <c r="G17" s="118" t="s">
        <v>4</v>
      </c>
      <c r="H17" s="118" t="s">
        <v>4</v>
      </c>
      <c r="I17" s="118" t="s">
        <v>4</v>
      </c>
      <c r="J17" s="118" t="s">
        <v>4</v>
      </c>
      <c r="K17" s="118" t="s">
        <v>4</v>
      </c>
      <c r="L17" s="118" t="s">
        <v>4</v>
      </c>
      <c r="M17" s="118" t="s">
        <v>4</v>
      </c>
      <c r="N17" s="118" t="s">
        <v>4</v>
      </c>
      <c r="O17" s="118" t="s">
        <v>4</v>
      </c>
      <c r="P17" s="118" t="s">
        <v>4</v>
      </c>
      <c r="Q17" s="118" t="s">
        <v>4</v>
      </c>
      <c r="R17" s="118" t="s">
        <v>4</v>
      </c>
      <c r="S17" s="118" t="s">
        <v>4</v>
      </c>
      <c r="T17" s="118" t="s">
        <v>4</v>
      </c>
      <c r="U17" s="118" t="s">
        <v>4</v>
      </c>
      <c r="V17" s="118" t="s">
        <v>4</v>
      </c>
      <c r="W17" s="118" t="s">
        <v>4</v>
      </c>
      <c r="X17" s="118" t="s">
        <v>4</v>
      </c>
      <c r="Y17" s="118" t="s">
        <v>4</v>
      </c>
      <c r="Z17" s="118" t="s">
        <v>4</v>
      </c>
      <c r="AA17" s="118" t="s">
        <v>4</v>
      </c>
      <c r="AB17" s="118" t="s">
        <v>4</v>
      </c>
      <c r="AC17" s="118" t="s">
        <v>4</v>
      </c>
      <c r="AD17" s="118" t="s">
        <v>4</v>
      </c>
      <c r="AE17" s="118" t="s">
        <v>4</v>
      </c>
      <c r="AF17" s="118" t="s">
        <v>4</v>
      </c>
      <c r="AG17" s="118" t="s">
        <v>4</v>
      </c>
      <c r="AH17" s="118" t="s">
        <v>4</v>
      </c>
      <c r="AI17" s="118" t="s">
        <v>4</v>
      </c>
      <c r="AJ17" s="118" t="s">
        <v>4</v>
      </c>
      <c r="AK17" s="118" t="s">
        <v>4</v>
      </c>
      <c r="AL17" s="118" t="s">
        <v>4</v>
      </c>
      <c r="AM17" s="118">
        <f>BK17/71.296</f>
        <v>1.8704695915619387</v>
      </c>
      <c r="AN17" s="118">
        <f t="shared" ref="AN17:BJ17" si="10">BL17/71.296</f>
        <v>1.8704695915619387</v>
      </c>
      <c r="AO17" s="118">
        <f t="shared" si="10"/>
        <v>1.8704695915619387</v>
      </c>
      <c r="AP17" s="118">
        <f t="shared" si="10"/>
        <v>1.8704695915619387</v>
      </c>
      <c r="AQ17" s="118">
        <f t="shared" si="10"/>
        <v>1.8704695915619387</v>
      </c>
      <c r="AR17" s="118">
        <f t="shared" si="10"/>
        <v>1.1153921678635548</v>
      </c>
      <c r="AS17" s="118">
        <f t="shared" si="10"/>
        <v>1.1153921678635548</v>
      </c>
      <c r="AT17" s="118">
        <f t="shared" si="10"/>
        <v>1.1153921678635548</v>
      </c>
      <c r="AU17" s="118">
        <f t="shared" si="10"/>
        <v>1.1153921678635548</v>
      </c>
      <c r="AV17" s="118">
        <f t="shared" si="10"/>
        <v>1.1153921678635548</v>
      </c>
      <c r="AW17" s="118">
        <f t="shared" si="10"/>
        <v>1.1153921678635548</v>
      </c>
      <c r="AX17" s="118">
        <f t="shared" si="10"/>
        <v>1.1153921678635548</v>
      </c>
      <c r="AY17" s="118">
        <f t="shared" si="10"/>
        <v>0.12039946140035908</v>
      </c>
      <c r="AZ17" s="118">
        <f t="shared" si="10"/>
        <v>0.12039946140035908</v>
      </c>
      <c r="BA17" s="118">
        <f t="shared" si="10"/>
        <v>0.12039946140035908</v>
      </c>
      <c r="BB17" s="118">
        <f t="shared" si="10"/>
        <v>0.12039946140035908</v>
      </c>
      <c r="BC17" s="118">
        <f t="shared" si="10"/>
        <v>0.12039946140035908</v>
      </c>
      <c r="BD17" s="118">
        <f t="shared" si="10"/>
        <v>0.12039946140035908</v>
      </c>
      <c r="BE17" s="118">
        <f t="shared" si="10"/>
        <v>0.12039946140035908</v>
      </c>
      <c r="BF17" s="118">
        <f>CD17/71.296</f>
        <v>0.12039946140035908</v>
      </c>
      <c r="BG17" s="118">
        <f t="shared" si="10"/>
        <v>0.12039946140035908</v>
      </c>
      <c r="BH17" s="118">
        <f t="shared" si="10"/>
        <v>0.12039946140035908</v>
      </c>
      <c r="BI17" s="118">
        <f t="shared" si="10"/>
        <v>0.12039946140035908</v>
      </c>
      <c r="BJ17" s="118">
        <f t="shared" si="10"/>
        <v>0.12039946140035908</v>
      </c>
      <c r="BK17" s="118">
        <f>SUM(BK18:BK29)</f>
        <v>133.357</v>
      </c>
      <c r="BL17" s="118">
        <f t="shared" ref="BL17:CH17" si="11">SUM(BL18:BL29)</f>
        <v>133.357</v>
      </c>
      <c r="BM17" s="118">
        <f t="shared" si="11"/>
        <v>133.357</v>
      </c>
      <c r="BN17" s="118">
        <f t="shared" si="11"/>
        <v>133.357</v>
      </c>
      <c r="BO17" s="118">
        <f t="shared" si="11"/>
        <v>133.357</v>
      </c>
      <c r="BP17" s="118">
        <f t="shared" si="11"/>
        <v>79.52300000000001</v>
      </c>
      <c r="BQ17" s="118">
        <f t="shared" si="11"/>
        <v>79.52300000000001</v>
      </c>
      <c r="BR17" s="118">
        <f t="shared" si="11"/>
        <v>79.52300000000001</v>
      </c>
      <c r="BS17" s="118">
        <f t="shared" si="11"/>
        <v>79.52300000000001</v>
      </c>
      <c r="BT17" s="118">
        <f t="shared" si="11"/>
        <v>79.52300000000001</v>
      </c>
      <c r="BU17" s="118">
        <f t="shared" si="11"/>
        <v>79.52300000000001</v>
      </c>
      <c r="BV17" s="118">
        <f t="shared" si="11"/>
        <v>79.52300000000001</v>
      </c>
      <c r="BW17" s="118">
        <f t="shared" si="11"/>
        <v>8.5840000000000014</v>
      </c>
      <c r="BX17" s="118">
        <f t="shared" si="11"/>
        <v>8.5840000000000014</v>
      </c>
      <c r="BY17" s="118">
        <f t="shared" si="11"/>
        <v>8.5840000000000014</v>
      </c>
      <c r="BZ17" s="118">
        <f t="shared" si="11"/>
        <v>8.5840000000000014</v>
      </c>
      <c r="CA17" s="118">
        <f t="shared" si="11"/>
        <v>8.5840000000000014</v>
      </c>
      <c r="CB17" s="118">
        <f t="shared" si="11"/>
        <v>8.5840000000000014</v>
      </c>
      <c r="CC17" s="118">
        <f t="shared" si="11"/>
        <v>8.5840000000000014</v>
      </c>
      <c r="CD17" s="118">
        <f t="shared" si="11"/>
        <v>8.5840000000000014</v>
      </c>
      <c r="CE17" s="118">
        <f t="shared" si="11"/>
        <v>8.5840000000000014</v>
      </c>
      <c r="CF17" s="118">
        <f t="shared" si="11"/>
        <v>8.5840000000000014</v>
      </c>
      <c r="CG17" s="118">
        <f t="shared" si="11"/>
        <v>8.5840000000000014</v>
      </c>
      <c r="CH17" s="118">
        <f t="shared" si="11"/>
        <v>8.5840000000000014</v>
      </c>
    </row>
    <row r="18" spans="1:86" ht="50.1" customHeight="1" x14ac:dyDescent="0.25">
      <c r="A18" s="116" t="s">
        <v>28</v>
      </c>
      <c r="B18" s="172" t="s">
        <v>368</v>
      </c>
      <c r="C18" s="118" t="s">
        <v>4</v>
      </c>
      <c r="D18" s="118" t="s">
        <v>4</v>
      </c>
      <c r="E18" s="118" t="s">
        <v>4</v>
      </c>
      <c r="F18" s="118" t="s">
        <v>4</v>
      </c>
      <c r="G18" s="118" t="s">
        <v>4</v>
      </c>
      <c r="H18" s="118" t="s">
        <v>4</v>
      </c>
      <c r="I18" s="118" t="s">
        <v>4</v>
      </c>
      <c r="J18" s="118" t="s">
        <v>4</v>
      </c>
      <c r="K18" s="118" t="s">
        <v>4</v>
      </c>
      <c r="L18" s="118" t="s">
        <v>4</v>
      </c>
      <c r="M18" s="118" t="s">
        <v>4</v>
      </c>
      <c r="N18" s="118" t="s">
        <v>4</v>
      </c>
      <c r="O18" s="118" t="s">
        <v>4</v>
      </c>
      <c r="P18" s="118" t="s">
        <v>4</v>
      </c>
      <c r="Q18" s="118" t="s">
        <v>4</v>
      </c>
      <c r="R18" s="118" t="s">
        <v>4</v>
      </c>
      <c r="S18" s="118" t="s">
        <v>4</v>
      </c>
      <c r="T18" s="118" t="s">
        <v>4</v>
      </c>
      <c r="U18" s="118" t="s">
        <v>4</v>
      </c>
      <c r="V18" s="118" t="s">
        <v>4</v>
      </c>
      <c r="W18" s="118" t="s">
        <v>4</v>
      </c>
      <c r="X18" s="118" t="s">
        <v>4</v>
      </c>
      <c r="Y18" s="118" t="s">
        <v>4</v>
      </c>
      <c r="Z18" s="118" t="s">
        <v>4</v>
      </c>
      <c r="AA18" s="118" t="s">
        <v>4</v>
      </c>
      <c r="AB18" s="118" t="s">
        <v>4</v>
      </c>
      <c r="AC18" s="118" t="s">
        <v>4</v>
      </c>
      <c r="AD18" s="118" t="s">
        <v>4</v>
      </c>
      <c r="AE18" s="118" t="s">
        <v>4</v>
      </c>
      <c r="AF18" s="118" t="s">
        <v>4</v>
      </c>
      <c r="AG18" s="118" t="s">
        <v>4</v>
      </c>
      <c r="AH18" s="118" t="s">
        <v>4</v>
      </c>
      <c r="AI18" s="118" t="s">
        <v>4</v>
      </c>
      <c r="AJ18" s="118" t="s">
        <v>4</v>
      </c>
      <c r="AK18" s="118" t="s">
        <v>4</v>
      </c>
      <c r="AL18" s="118" t="s">
        <v>4</v>
      </c>
      <c r="AM18" s="118">
        <f>BK18/0.972</f>
        <v>1.1152263374485598</v>
      </c>
      <c r="AN18" s="118">
        <f t="shared" ref="AN18:BJ18" si="12">BL18/0.972</f>
        <v>1.1152263374485598</v>
      </c>
      <c r="AO18" s="118">
        <f t="shared" si="12"/>
        <v>1.1152263374485598</v>
      </c>
      <c r="AP18" s="118">
        <f t="shared" si="12"/>
        <v>1.1152263374485598</v>
      </c>
      <c r="AQ18" s="118">
        <f t="shared" si="12"/>
        <v>1.1152263374485598</v>
      </c>
      <c r="AR18" s="118">
        <f t="shared" si="12"/>
        <v>1.1152263374485598</v>
      </c>
      <c r="AS18" s="118">
        <f t="shared" si="12"/>
        <v>1.1152263374485598</v>
      </c>
      <c r="AT18" s="118">
        <f t="shared" si="12"/>
        <v>1.1152263374485598</v>
      </c>
      <c r="AU18" s="118">
        <f t="shared" si="12"/>
        <v>1.1152263374485598</v>
      </c>
      <c r="AV18" s="118">
        <f t="shared" si="12"/>
        <v>1.1152263374485598</v>
      </c>
      <c r="AW18" s="118">
        <f t="shared" si="12"/>
        <v>1.1152263374485598</v>
      </c>
      <c r="AX18" s="118">
        <f t="shared" si="12"/>
        <v>1.1152263374485598</v>
      </c>
      <c r="AY18" s="118">
        <f t="shared" si="12"/>
        <v>1.0452674897119343</v>
      </c>
      <c r="AZ18" s="118">
        <f t="shared" si="12"/>
        <v>1.0452674897119343</v>
      </c>
      <c r="BA18" s="118">
        <f t="shared" si="12"/>
        <v>1.0452674897119343</v>
      </c>
      <c r="BB18" s="118">
        <f t="shared" si="12"/>
        <v>1.0452674897119343</v>
      </c>
      <c r="BC18" s="118">
        <f t="shared" si="12"/>
        <v>1.0452674897119343</v>
      </c>
      <c r="BD18" s="118">
        <f t="shared" si="12"/>
        <v>1.0452674897119343</v>
      </c>
      <c r="BE18" s="118">
        <f t="shared" si="12"/>
        <v>1.0452674897119343</v>
      </c>
      <c r="BF18" s="118">
        <f t="shared" si="12"/>
        <v>1.0452674897119343</v>
      </c>
      <c r="BG18" s="118">
        <f t="shared" si="12"/>
        <v>1.0452674897119343</v>
      </c>
      <c r="BH18" s="118">
        <f t="shared" si="12"/>
        <v>1.0452674897119343</v>
      </c>
      <c r="BI18" s="118">
        <f t="shared" si="12"/>
        <v>1.0452674897119343</v>
      </c>
      <c r="BJ18" s="118">
        <f t="shared" si="12"/>
        <v>1.0452674897119343</v>
      </c>
      <c r="BK18" s="202">
        <v>1.0840000000000001</v>
      </c>
      <c r="BL18" s="202">
        <v>1.0840000000000001</v>
      </c>
      <c r="BM18" s="202">
        <v>1.0840000000000001</v>
      </c>
      <c r="BN18" s="202">
        <v>1.0840000000000001</v>
      </c>
      <c r="BO18" s="202">
        <v>1.0840000000000001</v>
      </c>
      <c r="BP18" s="202">
        <v>1.0840000000000001</v>
      </c>
      <c r="BQ18" s="202">
        <v>1.0840000000000001</v>
      </c>
      <c r="BR18" s="202">
        <v>1.0840000000000001</v>
      </c>
      <c r="BS18" s="202">
        <v>1.0840000000000001</v>
      </c>
      <c r="BT18" s="202">
        <v>1.0840000000000001</v>
      </c>
      <c r="BU18" s="202">
        <v>1.0840000000000001</v>
      </c>
      <c r="BV18" s="202">
        <v>1.0840000000000001</v>
      </c>
      <c r="BW18" s="202">
        <v>1.016</v>
      </c>
      <c r="BX18" s="202">
        <v>1.016</v>
      </c>
      <c r="BY18" s="202">
        <v>1.016</v>
      </c>
      <c r="BZ18" s="202">
        <v>1.016</v>
      </c>
      <c r="CA18" s="202">
        <v>1.016</v>
      </c>
      <c r="CB18" s="202">
        <v>1.016</v>
      </c>
      <c r="CC18" s="202">
        <v>1.016</v>
      </c>
      <c r="CD18" s="202">
        <v>1.016</v>
      </c>
      <c r="CE18" s="202">
        <v>1.016</v>
      </c>
      <c r="CF18" s="202">
        <v>1.016</v>
      </c>
      <c r="CG18" s="202">
        <v>1.016</v>
      </c>
      <c r="CH18" s="202">
        <v>1.016</v>
      </c>
    </row>
    <row r="19" spans="1:86" ht="50.1" customHeight="1" x14ac:dyDescent="0.25">
      <c r="A19" s="116" t="s">
        <v>29</v>
      </c>
      <c r="B19" s="172" t="s">
        <v>369</v>
      </c>
      <c r="C19" s="118" t="s">
        <v>4</v>
      </c>
      <c r="D19" s="118" t="s">
        <v>4</v>
      </c>
      <c r="E19" s="118" t="s">
        <v>4</v>
      </c>
      <c r="F19" s="118" t="s">
        <v>4</v>
      </c>
      <c r="G19" s="118" t="s">
        <v>4</v>
      </c>
      <c r="H19" s="118" t="s">
        <v>4</v>
      </c>
      <c r="I19" s="118" t="s">
        <v>4</v>
      </c>
      <c r="J19" s="118" t="s">
        <v>4</v>
      </c>
      <c r="K19" s="118" t="s">
        <v>4</v>
      </c>
      <c r="L19" s="118" t="s">
        <v>4</v>
      </c>
      <c r="M19" s="118" t="s">
        <v>4</v>
      </c>
      <c r="N19" s="118" t="s">
        <v>4</v>
      </c>
      <c r="O19" s="118" t="s">
        <v>4</v>
      </c>
      <c r="P19" s="118" t="s">
        <v>4</v>
      </c>
      <c r="Q19" s="118" t="s">
        <v>4</v>
      </c>
      <c r="R19" s="118" t="s">
        <v>4</v>
      </c>
      <c r="S19" s="118" t="s">
        <v>4</v>
      </c>
      <c r="T19" s="118" t="s">
        <v>4</v>
      </c>
      <c r="U19" s="118" t="s">
        <v>4</v>
      </c>
      <c r="V19" s="118" t="s">
        <v>4</v>
      </c>
      <c r="W19" s="118" t="s">
        <v>4</v>
      </c>
      <c r="X19" s="118" t="s">
        <v>4</v>
      </c>
      <c r="Y19" s="118" t="s">
        <v>4</v>
      </c>
      <c r="Z19" s="118" t="s">
        <v>4</v>
      </c>
      <c r="AA19" s="118" t="s">
        <v>4</v>
      </c>
      <c r="AB19" s="118" t="s">
        <v>4</v>
      </c>
      <c r="AC19" s="118" t="s">
        <v>4</v>
      </c>
      <c r="AD19" s="118" t="s">
        <v>4</v>
      </c>
      <c r="AE19" s="118" t="s">
        <v>4</v>
      </c>
      <c r="AF19" s="118" t="s">
        <v>4</v>
      </c>
      <c r="AG19" s="118" t="s">
        <v>4</v>
      </c>
      <c r="AH19" s="118" t="s">
        <v>4</v>
      </c>
      <c r="AI19" s="118" t="s">
        <v>4</v>
      </c>
      <c r="AJ19" s="118" t="s">
        <v>4</v>
      </c>
      <c r="AK19" s="118" t="s">
        <v>4</v>
      </c>
      <c r="AL19" s="118" t="s">
        <v>4</v>
      </c>
      <c r="AM19" s="118">
        <f>BK19/16.7616</f>
        <v>1.1152276632302405</v>
      </c>
      <c r="AN19" s="118">
        <f t="shared" ref="AN19:BJ19" si="13">BL19/16.7616</f>
        <v>1.1152276632302405</v>
      </c>
      <c r="AO19" s="118">
        <f t="shared" si="13"/>
        <v>1.1152276632302405</v>
      </c>
      <c r="AP19" s="118">
        <f t="shared" si="13"/>
        <v>1.1152276632302405</v>
      </c>
      <c r="AQ19" s="118">
        <f t="shared" si="13"/>
        <v>1.1152276632302405</v>
      </c>
      <c r="AR19" s="118">
        <f t="shared" si="13"/>
        <v>1.1152276632302405</v>
      </c>
      <c r="AS19" s="118">
        <f t="shared" si="13"/>
        <v>1.1152276632302405</v>
      </c>
      <c r="AT19" s="118">
        <f t="shared" si="13"/>
        <v>1.1152276632302405</v>
      </c>
      <c r="AU19" s="118">
        <f t="shared" si="13"/>
        <v>1.1152276632302405</v>
      </c>
      <c r="AV19" s="118">
        <f t="shared" si="13"/>
        <v>1.1152276632302405</v>
      </c>
      <c r="AW19" s="118">
        <f t="shared" si="13"/>
        <v>1.1152276632302405</v>
      </c>
      <c r="AX19" s="118">
        <f t="shared" si="13"/>
        <v>1.1152276632302405</v>
      </c>
      <c r="AY19" s="118">
        <f t="shared" si="13"/>
        <v>0.10905880106911034</v>
      </c>
      <c r="AZ19" s="118">
        <f t="shared" si="13"/>
        <v>0.10905880106911034</v>
      </c>
      <c r="BA19" s="118">
        <f t="shared" si="13"/>
        <v>0.10905880106911034</v>
      </c>
      <c r="BB19" s="118">
        <f t="shared" si="13"/>
        <v>0.10905880106911034</v>
      </c>
      <c r="BC19" s="118">
        <f t="shared" si="13"/>
        <v>0.10905880106911034</v>
      </c>
      <c r="BD19" s="118">
        <f t="shared" si="13"/>
        <v>0.10905880106911034</v>
      </c>
      <c r="BE19" s="118">
        <f t="shared" si="13"/>
        <v>0.10905880106911034</v>
      </c>
      <c r="BF19" s="118">
        <f t="shared" si="13"/>
        <v>0.10905880106911034</v>
      </c>
      <c r="BG19" s="118">
        <f t="shared" si="13"/>
        <v>0.10905880106911034</v>
      </c>
      <c r="BH19" s="118">
        <f t="shared" si="13"/>
        <v>0.10905880106911034</v>
      </c>
      <c r="BI19" s="118">
        <f t="shared" si="13"/>
        <v>0.10905880106911034</v>
      </c>
      <c r="BJ19" s="118">
        <f t="shared" si="13"/>
        <v>0.10905880106911034</v>
      </c>
      <c r="BK19" s="202">
        <v>18.693000000000001</v>
      </c>
      <c r="BL19" s="202">
        <v>18.693000000000001</v>
      </c>
      <c r="BM19" s="202">
        <v>18.693000000000001</v>
      </c>
      <c r="BN19" s="202">
        <v>18.693000000000001</v>
      </c>
      <c r="BO19" s="202">
        <v>18.693000000000001</v>
      </c>
      <c r="BP19" s="202">
        <v>18.693000000000001</v>
      </c>
      <c r="BQ19" s="202">
        <v>18.693000000000001</v>
      </c>
      <c r="BR19" s="202">
        <v>18.693000000000001</v>
      </c>
      <c r="BS19" s="202">
        <v>18.693000000000001</v>
      </c>
      <c r="BT19" s="202">
        <v>18.693000000000001</v>
      </c>
      <c r="BU19" s="202">
        <v>18.693000000000001</v>
      </c>
      <c r="BV19" s="202">
        <v>18.693000000000001</v>
      </c>
      <c r="BW19" s="202">
        <v>1.8280000000000001</v>
      </c>
      <c r="BX19" s="202">
        <v>1.8280000000000001</v>
      </c>
      <c r="BY19" s="202">
        <v>1.8280000000000001</v>
      </c>
      <c r="BZ19" s="202">
        <v>1.8280000000000001</v>
      </c>
      <c r="CA19" s="202">
        <v>1.8280000000000001</v>
      </c>
      <c r="CB19" s="202">
        <v>1.8280000000000001</v>
      </c>
      <c r="CC19" s="202">
        <v>1.8280000000000001</v>
      </c>
      <c r="CD19" s="202">
        <v>1.8280000000000001</v>
      </c>
      <c r="CE19" s="202">
        <v>1.8280000000000001</v>
      </c>
      <c r="CF19" s="202">
        <v>1.8280000000000001</v>
      </c>
      <c r="CG19" s="202">
        <v>1.8280000000000001</v>
      </c>
      <c r="CH19" s="202">
        <v>1.8280000000000001</v>
      </c>
    </row>
    <row r="20" spans="1:86" ht="50.1" customHeight="1" x14ac:dyDescent="0.25">
      <c r="A20" s="116" t="s">
        <v>358</v>
      </c>
      <c r="B20" s="172" t="s">
        <v>370</v>
      </c>
      <c r="C20" s="118" t="s">
        <v>4</v>
      </c>
      <c r="D20" s="118" t="s">
        <v>4</v>
      </c>
      <c r="E20" s="118" t="s">
        <v>4</v>
      </c>
      <c r="F20" s="118" t="s">
        <v>4</v>
      </c>
      <c r="G20" s="118" t="s">
        <v>4</v>
      </c>
      <c r="H20" s="118" t="s">
        <v>4</v>
      </c>
      <c r="I20" s="118" t="s">
        <v>4</v>
      </c>
      <c r="J20" s="118" t="s">
        <v>4</v>
      </c>
      <c r="K20" s="118" t="s">
        <v>4</v>
      </c>
      <c r="L20" s="118" t="s">
        <v>4</v>
      </c>
      <c r="M20" s="118" t="s">
        <v>4</v>
      </c>
      <c r="N20" s="118" t="s">
        <v>4</v>
      </c>
      <c r="O20" s="118" t="s">
        <v>4</v>
      </c>
      <c r="P20" s="118" t="s">
        <v>4</v>
      </c>
      <c r="Q20" s="118" t="s">
        <v>4</v>
      </c>
      <c r="R20" s="118" t="s">
        <v>4</v>
      </c>
      <c r="S20" s="118" t="s">
        <v>4</v>
      </c>
      <c r="T20" s="118" t="s">
        <v>4</v>
      </c>
      <c r="U20" s="118" t="s">
        <v>4</v>
      </c>
      <c r="V20" s="118" t="s">
        <v>4</v>
      </c>
      <c r="W20" s="118" t="s">
        <v>4</v>
      </c>
      <c r="X20" s="118" t="s">
        <v>4</v>
      </c>
      <c r="Y20" s="118" t="s">
        <v>4</v>
      </c>
      <c r="Z20" s="118" t="s">
        <v>4</v>
      </c>
      <c r="AA20" s="118" t="s">
        <v>4</v>
      </c>
      <c r="AB20" s="118" t="s">
        <v>4</v>
      </c>
      <c r="AC20" s="118" t="s">
        <v>4</v>
      </c>
      <c r="AD20" s="118" t="s">
        <v>4</v>
      </c>
      <c r="AE20" s="118" t="s">
        <v>4</v>
      </c>
      <c r="AF20" s="118" t="s">
        <v>4</v>
      </c>
      <c r="AG20" s="118" t="s">
        <v>4</v>
      </c>
      <c r="AH20" s="118" t="s">
        <v>4</v>
      </c>
      <c r="AI20" s="118" t="s">
        <v>4</v>
      </c>
      <c r="AJ20" s="118" t="s">
        <v>4</v>
      </c>
      <c r="AK20" s="118" t="s">
        <v>4</v>
      </c>
      <c r="AL20" s="118" t="s">
        <v>4</v>
      </c>
      <c r="AM20" s="118">
        <f>BK20/12.96</f>
        <v>2.101466049382716</v>
      </c>
      <c r="AN20" s="118">
        <f t="shared" ref="AN20:BJ20" si="14">BL20/12.96</f>
        <v>2.101466049382716</v>
      </c>
      <c r="AO20" s="118">
        <f t="shared" si="14"/>
        <v>2.101466049382716</v>
      </c>
      <c r="AP20" s="118">
        <f t="shared" si="14"/>
        <v>2.101466049382716</v>
      </c>
      <c r="AQ20" s="118">
        <f t="shared" si="14"/>
        <v>2.101466049382716</v>
      </c>
      <c r="AR20" s="118">
        <f t="shared" si="14"/>
        <v>1.115432098765432</v>
      </c>
      <c r="AS20" s="118">
        <f t="shared" si="14"/>
        <v>1.115432098765432</v>
      </c>
      <c r="AT20" s="118">
        <f t="shared" si="14"/>
        <v>1.115432098765432</v>
      </c>
      <c r="AU20" s="118">
        <f t="shared" si="14"/>
        <v>1.115432098765432</v>
      </c>
      <c r="AV20" s="118">
        <f t="shared" si="14"/>
        <v>1.115432098765432</v>
      </c>
      <c r="AW20" s="118">
        <f t="shared" si="14"/>
        <v>1.115432098765432</v>
      </c>
      <c r="AX20" s="118">
        <f t="shared" si="14"/>
        <v>1.115432098765432</v>
      </c>
      <c r="AY20" s="118">
        <f t="shared" si="14"/>
        <v>0.10910493827160493</v>
      </c>
      <c r="AZ20" s="118">
        <f t="shared" si="14"/>
        <v>0.10910493827160493</v>
      </c>
      <c r="BA20" s="118">
        <f t="shared" si="14"/>
        <v>0.10910493827160493</v>
      </c>
      <c r="BB20" s="118">
        <f t="shared" si="14"/>
        <v>0.10910493827160493</v>
      </c>
      <c r="BC20" s="118">
        <f t="shared" si="14"/>
        <v>0.10910493827160493</v>
      </c>
      <c r="BD20" s="118">
        <f t="shared" si="14"/>
        <v>0.10910493827160493</v>
      </c>
      <c r="BE20" s="118">
        <f t="shared" si="14"/>
        <v>0.10910493827160493</v>
      </c>
      <c r="BF20" s="118">
        <f t="shared" si="14"/>
        <v>0.10910493827160493</v>
      </c>
      <c r="BG20" s="118">
        <f t="shared" si="14"/>
        <v>0.10910493827160493</v>
      </c>
      <c r="BH20" s="118">
        <f t="shared" si="14"/>
        <v>0.10910493827160493</v>
      </c>
      <c r="BI20" s="118">
        <f t="shared" si="14"/>
        <v>0.10910493827160493</v>
      </c>
      <c r="BJ20" s="118">
        <f t="shared" si="14"/>
        <v>0.10910493827160493</v>
      </c>
      <c r="BK20" s="202">
        <v>27.234999999999999</v>
      </c>
      <c r="BL20" s="202">
        <v>27.234999999999999</v>
      </c>
      <c r="BM20" s="202">
        <v>27.234999999999999</v>
      </c>
      <c r="BN20" s="202">
        <v>27.234999999999999</v>
      </c>
      <c r="BO20" s="202">
        <v>27.234999999999999</v>
      </c>
      <c r="BP20" s="202">
        <v>14.456</v>
      </c>
      <c r="BQ20" s="202">
        <v>14.456</v>
      </c>
      <c r="BR20" s="202">
        <v>14.456</v>
      </c>
      <c r="BS20" s="202">
        <v>14.456</v>
      </c>
      <c r="BT20" s="202">
        <v>14.456</v>
      </c>
      <c r="BU20" s="202">
        <v>14.456</v>
      </c>
      <c r="BV20" s="202">
        <v>14.456</v>
      </c>
      <c r="BW20" s="202">
        <v>1.4139999999999999</v>
      </c>
      <c r="BX20" s="202">
        <v>1.4139999999999999</v>
      </c>
      <c r="BY20" s="202">
        <v>1.4139999999999999</v>
      </c>
      <c r="BZ20" s="202">
        <v>1.4139999999999999</v>
      </c>
      <c r="CA20" s="202">
        <v>1.4139999999999999</v>
      </c>
      <c r="CB20" s="202">
        <v>1.4139999999999999</v>
      </c>
      <c r="CC20" s="202">
        <v>1.4139999999999999</v>
      </c>
      <c r="CD20" s="202">
        <v>1.4139999999999999</v>
      </c>
      <c r="CE20" s="202">
        <v>1.4139999999999999</v>
      </c>
      <c r="CF20" s="202">
        <v>1.4139999999999999</v>
      </c>
      <c r="CG20" s="202">
        <v>1.4139999999999999</v>
      </c>
      <c r="CH20" s="202">
        <v>1.4139999999999999</v>
      </c>
    </row>
    <row r="21" spans="1:86" ht="50.1" customHeight="1" x14ac:dyDescent="0.25">
      <c r="A21" s="116" t="s">
        <v>359</v>
      </c>
      <c r="B21" s="172" t="s">
        <v>371</v>
      </c>
      <c r="C21" s="118" t="s">
        <v>4</v>
      </c>
      <c r="D21" s="118" t="s">
        <v>4</v>
      </c>
      <c r="E21" s="118" t="s">
        <v>4</v>
      </c>
      <c r="F21" s="118" t="s">
        <v>4</v>
      </c>
      <c r="G21" s="118" t="s">
        <v>4</v>
      </c>
      <c r="H21" s="118" t="s">
        <v>4</v>
      </c>
      <c r="I21" s="118" t="s">
        <v>4</v>
      </c>
      <c r="J21" s="118" t="s">
        <v>4</v>
      </c>
      <c r="K21" s="118" t="s">
        <v>4</v>
      </c>
      <c r="L21" s="118" t="s">
        <v>4</v>
      </c>
      <c r="M21" s="118" t="s">
        <v>4</v>
      </c>
      <c r="N21" s="118" t="s">
        <v>4</v>
      </c>
      <c r="O21" s="118" t="s">
        <v>4</v>
      </c>
      <c r="P21" s="118" t="s">
        <v>4</v>
      </c>
      <c r="Q21" s="118" t="s">
        <v>4</v>
      </c>
      <c r="R21" s="118" t="s">
        <v>4</v>
      </c>
      <c r="S21" s="118" t="s">
        <v>4</v>
      </c>
      <c r="T21" s="118" t="s">
        <v>4</v>
      </c>
      <c r="U21" s="118" t="s">
        <v>4</v>
      </c>
      <c r="V21" s="118" t="s">
        <v>4</v>
      </c>
      <c r="W21" s="118" t="s">
        <v>4</v>
      </c>
      <c r="X21" s="118" t="s">
        <v>4</v>
      </c>
      <c r="Y21" s="118" t="s">
        <v>4</v>
      </c>
      <c r="Z21" s="118" t="s">
        <v>4</v>
      </c>
      <c r="AA21" s="118" t="s">
        <v>4</v>
      </c>
      <c r="AB21" s="118" t="s">
        <v>4</v>
      </c>
      <c r="AC21" s="118" t="s">
        <v>4</v>
      </c>
      <c r="AD21" s="118" t="s">
        <v>4</v>
      </c>
      <c r="AE21" s="118" t="s">
        <v>4</v>
      </c>
      <c r="AF21" s="118" t="s">
        <v>4</v>
      </c>
      <c r="AG21" s="118" t="s">
        <v>4</v>
      </c>
      <c r="AH21" s="118" t="s">
        <v>4</v>
      </c>
      <c r="AI21" s="118" t="s">
        <v>4</v>
      </c>
      <c r="AJ21" s="118" t="s">
        <v>4</v>
      </c>
      <c r="AK21" s="118" t="s">
        <v>4</v>
      </c>
      <c r="AL21" s="118" t="s">
        <v>4</v>
      </c>
      <c r="AM21" s="118">
        <f t="shared" ref="AM21:BJ21" si="15">BK21/3.7152</f>
        <v>2.1013673557278212</v>
      </c>
      <c r="AN21" s="118">
        <f t="shared" si="15"/>
        <v>2.1013673557278212</v>
      </c>
      <c r="AO21" s="118">
        <f t="shared" si="15"/>
        <v>2.1013673557278212</v>
      </c>
      <c r="AP21" s="118">
        <f t="shared" si="15"/>
        <v>2.1013673557278212</v>
      </c>
      <c r="AQ21" s="118">
        <f t="shared" si="15"/>
        <v>2.1013673557278212</v>
      </c>
      <c r="AR21" s="118">
        <f t="shared" si="15"/>
        <v>1.1154177433247201</v>
      </c>
      <c r="AS21" s="118">
        <f t="shared" si="15"/>
        <v>1.1154177433247201</v>
      </c>
      <c r="AT21" s="118">
        <f t="shared" si="15"/>
        <v>1.1154177433247201</v>
      </c>
      <c r="AU21" s="118">
        <f t="shared" si="15"/>
        <v>1.1154177433247201</v>
      </c>
      <c r="AV21" s="118">
        <f t="shared" si="15"/>
        <v>1.1154177433247201</v>
      </c>
      <c r="AW21" s="118">
        <f t="shared" si="15"/>
        <v>1.1154177433247201</v>
      </c>
      <c r="AX21" s="118">
        <f t="shared" si="15"/>
        <v>1.1154177433247201</v>
      </c>
      <c r="AY21" s="118">
        <f t="shared" si="15"/>
        <v>0.10901162790697676</v>
      </c>
      <c r="AZ21" s="118">
        <f t="shared" si="15"/>
        <v>0.10901162790697676</v>
      </c>
      <c r="BA21" s="118">
        <f t="shared" si="15"/>
        <v>0.10901162790697676</v>
      </c>
      <c r="BB21" s="118">
        <f t="shared" si="15"/>
        <v>0.10901162790697676</v>
      </c>
      <c r="BC21" s="118">
        <f t="shared" si="15"/>
        <v>0.10901162790697676</v>
      </c>
      <c r="BD21" s="118">
        <f t="shared" si="15"/>
        <v>0.10901162790697676</v>
      </c>
      <c r="BE21" s="118">
        <f t="shared" si="15"/>
        <v>0.10901162790697676</v>
      </c>
      <c r="BF21" s="118">
        <f t="shared" si="15"/>
        <v>0.10901162790697676</v>
      </c>
      <c r="BG21" s="118">
        <f t="shared" si="15"/>
        <v>0.10901162790697676</v>
      </c>
      <c r="BH21" s="118">
        <f t="shared" si="15"/>
        <v>0.10901162790697676</v>
      </c>
      <c r="BI21" s="118">
        <f t="shared" si="15"/>
        <v>0.10901162790697676</v>
      </c>
      <c r="BJ21" s="118">
        <f t="shared" si="15"/>
        <v>0.10901162790697676</v>
      </c>
      <c r="BK21" s="202">
        <v>7.8070000000000004</v>
      </c>
      <c r="BL21" s="202">
        <v>7.8070000000000004</v>
      </c>
      <c r="BM21" s="202">
        <v>7.8070000000000004</v>
      </c>
      <c r="BN21" s="202">
        <v>7.8070000000000004</v>
      </c>
      <c r="BO21" s="202">
        <v>7.8070000000000004</v>
      </c>
      <c r="BP21" s="202">
        <v>4.1440000000000001</v>
      </c>
      <c r="BQ21" s="202">
        <v>4.1440000000000001</v>
      </c>
      <c r="BR21" s="202">
        <v>4.1440000000000001</v>
      </c>
      <c r="BS21" s="202">
        <v>4.1440000000000001</v>
      </c>
      <c r="BT21" s="202">
        <v>4.1440000000000001</v>
      </c>
      <c r="BU21" s="202">
        <v>4.1440000000000001</v>
      </c>
      <c r="BV21" s="202">
        <v>4.1440000000000001</v>
      </c>
      <c r="BW21" s="202">
        <v>0.40500000000000003</v>
      </c>
      <c r="BX21" s="202">
        <v>0.40500000000000003</v>
      </c>
      <c r="BY21" s="202">
        <v>0.40500000000000003</v>
      </c>
      <c r="BZ21" s="202">
        <v>0.40500000000000003</v>
      </c>
      <c r="CA21" s="202">
        <v>0.40500000000000003</v>
      </c>
      <c r="CB21" s="202">
        <v>0.40500000000000003</v>
      </c>
      <c r="CC21" s="202">
        <v>0.40500000000000003</v>
      </c>
      <c r="CD21" s="202">
        <v>0.40500000000000003</v>
      </c>
      <c r="CE21" s="202">
        <v>0.40500000000000003</v>
      </c>
      <c r="CF21" s="202">
        <v>0.40500000000000003</v>
      </c>
      <c r="CG21" s="202">
        <v>0.40500000000000003</v>
      </c>
      <c r="CH21" s="202">
        <v>0.40500000000000003</v>
      </c>
    </row>
    <row r="22" spans="1:86" ht="50.1" customHeight="1" x14ac:dyDescent="0.25">
      <c r="A22" s="116" t="s">
        <v>360</v>
      </c>
      <c r="B22" s="172" t="s">
        <v>372</v>
      </c>
      <c r="C22" s="118" t="s">
        <v>4</v>
      </c>
      <c r="D22" s="118" t="s">
        <v>4</v>
      </c>
      <c r="E22" s="118" t="s">
        <v>4</v>
      </c>
      <c r="F22" s="118" t="s">
        <v>4</v>
      </c>
      <c r="G22" s="118" t="s">
        <v>4</v>
      </c>
      <c r="H22" s="118" t="s">
        <v>4</v>
      </c>
      <c r="I22" s="118" t="s">
        <v>4</v>
      </c>
      <c r="J22" s="118" t="s">
        <v>4</v>
      </c>
      <c r="K22" s="118" t="s">
        <v>4</v>
      </c>
      <c r="L22" s="118" t="s">
        <v>4</v>
      </c>
      <c r="M22" s="118" t="s">
        <v>4</v>
      </c>
      <c r="N22" s="118" t="s">
        <v>4</v>
      </c>
      <c r="O22" s="118" t="s">
        <v>4</v>
      </c>
      <c r="P22" s="118" t="s">
        <v>4</v>
      </c>
      <c r="Q22" s="118" t="s">
        <v>4</v>
      </c>
      <c r="R22" s="118" t="s">
        <v>4</v>
      </c>
      <c r="S22" s="118" t="s">
        <v>4</v>
      </c>
      <c r="T22" s="118" t="s">
        <v>4</v>
      </c>
      <c r="U22" s="118" t="s">
        <v>4</v>
      </c>
      <c r="V22" s="118" t="s">
        <v>4</v>
      </c>
      <c r="W22" s="118" t="s">
        <v>4</v>
      </c>
      <c r="X22" s="118" t="s">
        <v>4</v>
      </c>
      <c r="Y22" s="118" t="s">
        <v>4</v>
      </c>
      <c r="Z22" s="118" t="s">
        <v>4</v>
      </c>
      <c r="AA22" s="118" t="s">
        <v>4</v>
      </c>
      <c r="AB22" s="118" t="s">
        <v>4</v>
      </c>
      <c r="AC22" s="118" t="s">
        <v>4</v>
      </c>
      <c r="AD22" s="118" t="s">
        <v>4</v>
      </c>
      <c r="AE22" s="118" t="s">
        <v>4</v>
      </c>
      <c r="AF22" s="118" t="s">
        <v>4</v>
      </c>
      <c r="AG22" s="118" t="s">
        <v>4</v>
      </c>
      <c r="AH22" s="118" t="s">
        <v>4</v>
      </c>
      <c r="AI22" s="118" t="s">
        <v>4</v>
      </c>
      <c r="AJ22" s="118" t="s">
        <v>4</v>
      </c>
      <c r="AK22" s="118" t="s">
        <v>4</v>
      </c>
      <c r="AL22" s="118" t="s">
        <v>4</v>
      </c>
      <c r="AM22" s="118">
        <f>BK22/6.696</f>
        <v>2.1012544802867383</v>
      </c>
      <c r="AN22" s="118">
        <f t="shared" ref="AN22:BJ22" si="16">BL22/6.696</f>
        <v>2.1012544802867383</v>
      </c>
      <c r="AO22" s="118">
        <f t="shared" si="16"/>
        <v>2.1012544802867383</v>
      </c>
      <c r="AP22" s="118">
        <f t="shared" si="16"/>
        <v>2.1012544802867383</v>
      </c>
      <c r="AQ22" s="118">
        <f t="shared" si="16"/>
        <v>2.1012544802867383</v>
      </c>
      <c r="AR22" s="118">
        <f t="shared" si="16"/>
        <v>1.114994026284349</v>
      </c>
      <c r="AS22" s="118">
        <f t="shared" si="16"/>
        <v>1.114994026284349</v>
      </c>
      <c r="AT22" s="118">
        <f t="shared" si="16"/>
        <v>1.114994026284349</v>
      </c>
      <c r="AU22" s="118">
        <f t="shared" si="16"/>
        <v>1.114994026284349</v>
      </c>
      <c r="AV22" s="118">
        <f t="shared" si="16"/>
        <v>1.114994026284349</v>
      </c>
      <c r="AW22" s="118">
        <f t="shared" si="16"/>
        <v>1.114994026284349</v>
      </c>
      <c r="AX22" s="118">
        <f t="shared" si="16"/>
        <v>1.114994026284349</v>
      </c>
      <c r="AY22" s="118">
        <f t="shared" si="16"/>
        <v>0.10902031063321387</v>
      </c>
      <c r="AZ22" s="118">
        <f t="shared" si="16"/>
        <v>0.10902031063321387</v>
      </c>
      <c r="BA22" s="118">
        <f t="shared" si="16"/>
        <v>0.10902031063321387</v>
      </c>
      <c r="BB22" s="118">
        <f t="shared" si="16"/>
        <v>0.10902031063321387</v>
      </c>
      <c r="BC22" s="118">
        <f t="shared" si="16"/>
        <v>0.10902031063321387</v>
      </c>
      <c r="BD22" s="118">
        <f t="shared" si="16"/>
        <v>0.10902031063321387</v>
      </c>
      <c r="BE22" s="118">
        <f t="shared" si="16"/>
        <v>0.10902031063321387</v>
      </c>
      <c r="BF22" s="118">
        <f t="shared" si="16"/>
        <v>0.10902031063321387</v>
      </c>
      <c r="BG22" s="118">
        <f t="shared" si="16"/>
        <v>0.10902031063321387</v>
      </c>
      <c r="BH22" s="118">
        <f t="shared" si="16"/>
        <v>0.10902031063321387</v>
      </c>
      <c r="BI22" s="118">
        <f t="shared" si="16"/>
        <v>0.10902031063321387</v>
      </c>
      <c r="BJ22" s="118">
        <f t="shared" si="16"/>
        <v>0.10902031063321387</v>
      </c>
      <c r="BK22" s="202">
        <v>14.07</v>
      </c>
      <c r="BL22" s="202">
        <v>14.07</v>
      </c>
      <c r="BM22" s="202">
        <v>14.07</v>
      </c>
      <c r="BN22" s="202">
        <v>14.07</v>
      </c>
      <c r="BO22" s="202">
        <v>14.07</v>
      </c>
      <c r="BP22" s="202">
        <v>7.4660000000000002</v>
      </c>
      <c r="BQ22" s="202">
        <v>7.4660000000000002</v>
      </c>
      <c r="BR22" s="202">
        <v>7.4660000000000002</v>
      </c>
      <c r="BS22" s="202">
        <v>7.4660000000000002</v>
      </c>
      <c r="BT22" s="202">
        <v>7.4660000000000002</v>
      </c>
      <c r="BU22" s="202">
        <v>7.4660000000000002</v>
      </c>
      <c r="BV22" s="202">
        <v>7.4660000000000002</v>
      </c>
      <c r="BW22" s="202">
        <v>0.73</v>
      </c>
      <c r="BX22" s="202">
        <v>0.73</v>
      </c>
      <c r="BY22" s="202">
        <v>0.73</v>
      </c>
      <c r="BZ22" s="202">
        <v>0.73</v>
      </c>
      <c r="CA22" s="202">
        <v>0.73</v>
      </c>
      <c r="CB22" s="202">
        <v>0.73</v>
      </c>
      <c r="CC22" s="202">
        <v>0.73</v>
      </c>
      <c r="CD22" s="202">
        <v>0.73</v>
      </c>
      <c r="CE22" s="202">
        <v>0.73</v>
      </c>
      <c r="CF22" s="202">
        <v>0.73</v>
      </c>
      <c r="CG22" s="202">
        <v>0.73</v>
      </c>
      <c r="CH22" s="202">
        <v>0.73</v>
      </c>
    </row>
    <row r="23" spans="1:86" ht="50.1" customHeight="1" x14ac:dyDescent="0.25">
      <c r="A23" s="116" t="s">
        <v>361</v>
      </c>
      <c r="B23" s="172" t="s">
        <v>373</v>
      </c>
      <c r="C23" s="118" t="s">
        <v>4</v>
      </c>
      <c r="D23" s="118" t="s">
        <v>4</v>
      </c>
      <c r="E23" s="118" t="s">
        <v>4</v>
      </c>
      <c r="F23" s="118" t="s">
        <v>4</v>
      </c>
      <c r="G23" s="118" t="s">
        <v>4</v>
      </c>
      <c r="H23" s="118" t="s">
        <v>4</v>
      </c>
      <c r="I23" s="118" t="s">
        <v>4</v>
      </c>
      <c r="J23" s="118" t="s">
        <v>4</v>
      </c>
      <c r="K23" s="118" t="s">
        <v>4</v>
      </c>
      <c r="L23" s="118" t="s">
        <v>4</v>
      </c>
      <c r="M23" s="118" t="s">
        <v>4</v>
      </c>
      <c r="N23" s="118" t="s">
        <v>4</v>
      </c>
      <c r="O23" s="118" t="s">
        <v>4</v>
      </c>
      <c r="P23" s="118" t="s">
        <v>4</v>
      </c>
      <c r="Q23" s="118" t="s">
        <v>4</v>
      </c>
      <c r="R23" s="118" t="s">
        <v>4</v>
      </c>
      <c r="S23" s="118" t="s">
        <v>4</v>
      </c>
      <c r="T23" s="118" t="s">
        <v>4</v>
      </c>
      <c r="U23" s="118" t="s">
        <v>4</v>
      </c>
      <c r="V23" s="118" t="s">
        <v>4</v>
      </c>
      <c r="W23" s="118" t="s">
        <v>4</v>
      </c>
      <c r="X23" s="118" t="s">
        <v>4</v>
      </c>
      <c r="Y23" s="118" t="s">
        <v>4</v>
      </c>
      <c r="Z23" s="118" t="s">
        <v>4</v>
      </c>
      <c r="AA23" s="118" t="s">
        <v>4</v>
      </c>
      <c r="AB23" s="118" t="s">
        <v>4</v>
      </c>
      <c r="AC23" s="118" t="s">
        <v>4</v>
      </c>
      <c r="AD23" s="118" t="s">
        <v>4</v>
      </c>
      <c r="AE23" s="118" t="s">
        <v>4</v>
      </c>
      <c r="AF23" s="118" t="s">
        <v>4</v>
      </c>
      <c r="AG23" s="118" t="s">
        <v>4</v>
      </c>
      <c r="AH23" s="118" t="s">
        <v>4</v>
      </c>
      <c r="AI23" s="118" t="s">
        <v>4</v>
      </c>
      <c r="AJ23" s="118" t="s">
        <v>4</v>
      </c>
      <c r="AK23" s="118" t="s">
        <v>4</v>
      </c>
      <c r="AL23" s="118" t="s">
        <v>4</v>
      </c>
      <c r="AM23" s="118">
        <f>BK23/1.254</f>
        <v>2.6969696969696972</v>
      </c>
      <c r="AN23" s="118">
        <f t="shared" ref="AN23:BJ23" si="17">BL23/1.254</f>
        <v>2.6969696969696972</v>
      </c>
      <c r="AO23" s="118">
        <f t="shared" si="17"/>
        <v>2.6969696969696972</v>
      </c>
      <c r="AP23" s="118">
        <f t="shared" si="17"/>
        <v>2.6969696969696972</v>
      </c>
      <c r="AQ23" s="118">
        <f t="shared" si="17"/>
        <v>2.6969696969696972</v>
      </c>
      <c r="AR23" s="118">
        <f t="shared" si="17"/>
        <v>1.5438596491228069</v>
      </c>
      <c r="AS23" s="118">
        <f t="shared" si="17"/>
        <v>1.5438596491228069</v>
      </c>
      <c r="AT23" s="118">
        <f t="shared" si="17"/>
        <v>1.5438596491228069</v>
      </c>
      <c r="AU23" s="118">
        <f t="shared" si="17"/>
        <v>1.5438596491228069</v>
      </c>
      <c r="AV23" s="118">
        <f t="shared" si="17"/>
        <v>1.5438596491228069</v>
      </c>
      <c r="AW23" s="118">
        <f t="shared" si="17"/>
        <v>1.5438596491228069</v>
      </c>
      <c r="AX23" s="118">
        <f t="shared" si="17"/>
        <v>1.5438596491228069</v>
      </c>
      <c r="AY23" s="118">
        <f t="shared" si="17"/>
        <v>5.1834130781499205E-2</v>
      </c>
      <c r="AZ23" s="118">
        <f t="shared" si="17"/>
        <v>5.1834130781499205E-2</v>
      </c>
      <c r="BA23" s="118">
        <f t="shared" si="17"/>
        <v>5.1834130781499205E-2</v>
      </c>
      <c r="BB23" s="118">
        <f t="shared" si="17"/>
        <v>5.1834130781499205E-2</v>
      </c>
      <c r="BC23" s="118">
        <f t="shared" si="17"/>
        <v>5.1834130781499205E-2</v>
      </c>
      <c r="BD23" s="118">
        <f t="shared" si="17"/>
        <v>5.1834130781499205E-2</v>
      </c>
      <c r="BE23" s="118">
        <f t="shared" si="17"/>
        <v>5.1834130781499205E-2</v>
      </c>
      <c r="BF23" s="118">
        <f t="shared" si="17"/>
        <v>5.1834130781499205E-2</v>
      </c>
      <c r="BG23" s="118">
        <f t="shared" si="17"/>
        <v>5.1834130781499205E-2</v>
      </c>
      <c r="BH23" s="118">
        <f t="shared" si="17"/>
        <v>5.1834130781499205E-2</v>
      </c>
      <c r="BI23" s="118">
        <f t="shared" si="17"/>
        <v>5.1834130781499205E-2</v>
      </c>
      <c r="BJ23" s="118">
        <f t="shared" si="17"/>
        <v>5.1834130781499205E-2</v>
      </c>
      <c r="BK23" s="202">
        <v>3.3820000000000001</v>
      </c>
      <c r="BL23" s="202">
        <v>3.3820000000000001</v>
      </c>
      <c r="BM23" s="202">
        <v>3.3820000000000001</v>
      </c>
      <c r="BN23" s="202">
        <v>3.3820000000000001</v>
      </c>
      <c r="BO23" s="202">
        <v>3.3820000000000001</v>
      </c>
      <c r="BP23" s="202">
        <v>1.9359999999999999</v>
      </c>
      <c r="BQ23" s="202">
        <v>1.9359999999999999</v>
      </c>
      <c r="BR23" s="202">
        <v>1.9359999999999999</v>
      </c>
      <c r="BS23" s="202">
        <v>1.9359999999999999</v>
      </c>
      <c r="BT23" s="202">
        <v>1.9359999999999999</v>
      </c>
      <c r="BU23" s="202">
        <v>1.9359999999999999</v>
      </c>
      <c r="BV23" s="202">
        <v>1.9359999999999999</v>
      </c>
      <c r="BW23" s="202">
        <v>6.5000000000000002E-2</v>
      </c>
      <c r="BX23" s="202">
        <v>6.5000000000000002E-2</v>
      </c>
      <c r="BY23" s="202">
        <v>6.5000000000000002E-2</v>
      </c>
      <c r="BZ23" s="202">
        <v>6.5000000000000002E-2</v>
      </c>
      <c r="CA23" s="202">
        <v>6.5000000000000002E-2</v>
      </c>
      <c r="CB23" s="202">
        <v>6.5000000000000002E-2</v>
      </c>
      <c r="CC23" s="202">
        <v>6.5000000000000002E-2</v>
      </c>
      <c r="CD23" s="202">
        <v>6.5000000000000002E-2</v>
      </c>
      <c r="CE23" s="202">
        <v>6.5000000000000002E-2</v>
      </c>
      <c r="CF23" s="202">
        <v>6.5000000000000002E-2</v>
      </c>
      <c r="CG23" s="202">
        <v>6.5000000000000002E-2</v>
      </c>
      <c r="CH23" s="202">
        <v>6.5000000000000002E-2</v>
      </c>
    </row>
    <row r="24" spans="1:86" ht="50.1" customHeight="1" x14ac:dyDescent="0.25">
      <c r="A24" s="116" t="s">
        <v>362</v>
      </c>
      <c r="B24" s="172" t="s">
        <v>374</v>
      </c>
      <c r="C24" s="118" t="s">
        <v>4</v>
      </c>
      <c r="D24" s="118" t="s">
        <v>4</v>
      </c>
      <c r="E24" s="118" t="s">
        <v>4</v>
      </c>
      <c r="F24" s="118" t="s">
        <v>4</v>
      </c>
      <c r="G24" s="118" t="s">
        <v>4</v>
      </c>
      <c r="H24" s="118" t="s">
        <v>4</v>
      </c>
      <c r="I24" s="118" t="s">
        <v>4</v>
      </c>
      <c r="J24" s="118" t="s">
        <v>4</v>
      </c>
      <c r="K24" s="118" t="s">
        <v>4</v>
      </c>
      <c r="L24" s="118" t="s">
        <v>4</v>
      </c>
      <c r="M24" s="118" t="s">
        <v>4</v>
      </c>
      <c r="N24" s="118" t="s">
        <v>4</v>
      </c>
      <c r="O24" s="118" t="s">
        <v>4</v>
      </c>
      <c r="P24" s="118" t="s">
        <v>4</v>
      </c>
      <c r="Q24" s="118" t="s">
        <v>4</v>
      </c>
      <c r="R24" s="118" t="s">
        <v>4</v>
      </c>
      <c r="S24" s="118" t="s">
        <v>4</v>
      </c>
      <c r="T24" s="118" t="s">
        <v>4</v>
      </c>
      <c r="U24" s="118" t="s">
        <v>4</v>
      </c>
      <c r="V24" s="118" t="s">
        <v>4</v>
      </c>
      <c r="W24" s="118" t="s">
        <v>4</v>
      </c>
      <c r="X24" s="118" t="s">
        <v>4</v>
      </c>
      <c r="Y24" s="118" t="s">
        <v>4</v>
      </c>
      <c r="Z24" s="118" t="s">
        <v>4</v>
      </c>
      <c r="AA24" s="118" t="s">
        <v>4</v>
      </c>
      <c r="AB24" s="118" t="s">
        <v>4</v>
      </c>
      <c r="AC24" s="118" t="s">
        <v>4</v>
      </c>
      <c r="AD24" s="118" t="s">
        <v>4</v>
      </c>
      <c r="AE24" s="118" t="s">
        <v>4</v>
      </c>
      <c r="AF24" s="118" t="s">
        <v>4</v>
      </c>
      <c r="AG24" s="118" t="s">
        <v>4</v>
      </c>
      <c r="AH24" s="118" t="s">
        <v>4</v>
      </c>
      <c r="AI24" s="118" t="s">
        <v>4</v>
      </c>
      <c r="AJ24" s="118" t="s">
        <v>4</v>
      </c>
      <c r="AK24" s="118" t="s">
        <v>4</v>
      </c>
      <c r="AL24" s="118" t="s">
        <v>4</v>
      </c>
      <c r="AM24" s="118">
        <f>BK24/10.152</f>
        <v>2.1016548463356974</v>
      </c>
      <c r="AN24" s="118">
        <f t="shared" ref="AN24:BJ24" si="18">BL24/10.152</f>
        <v>2.1016548463356974</v>
      </c>
      <c r="AO24" s="118">
        <f t="shared" si="18"/>
        <v>2.1016548463356974</v>
      </c>
      <c r="AP24" s="118">
        <f t="shared" si="18"/>
        <v>2.1016548463356974</v>
      </c>
      <c r="AQ24" s="118">
        <f t="shared" si="18"/>
        <v>2.1016548463356974</v>
      </c>
      <c r="AR24" s="118">
        <f t="shared" si="18"/>
        <v>1.1151497241922774</v>
      </c>
      <c r="AS24" s="118">
        <f t="shared" si="18"/>
        <v>1.1151497241922774</v>
      </c>
      <c r="AT24" s="118">
        <f t="shared" si="18"/>
        <v>1.1151497241922774</v>
      </c>
      <c r="AU24" s="118">
        <f t="shared" si="18"/>
        <v>1.1151497241922774</v>
      </c>
      <c r="AV24" s="118">
        <f t="shared" si="18"/>
        <v>1.1151497241922774</v>
      </c>
      <c r="AW24" s="118">
        <f t="shared" si="18"/>
        <v>1.1151497241922774</v>
      </c>
      <c r="AX24" s="118">
        <f t="shared" si="18"/>
        <v>1.1151497241922774</v>
      </c>
      <c r="AY24" s="118">
        <f t="shared" si="18"/>
        <v>0.10904255319148937</v>
      </c>
      <c r="AZ24" s="118">
        <f t="shared" si="18"/>
        <v>0.10904255319148937</v>
      </c>
      <c r="BA24" s="118">
        <f t="shared" si="18"/>
        <v>0.10904255319148937</v>
      </c>
      <c r="BB24" s="118">
        <f t="shared" si="18"/>
        <v>0.10904255319148937</v>
      </c>
      <c r="BC24" s="118">
        <f t="shared" si="18"/>
        <v>0.10904255319148937</v>
      </c>
      <c r="BD24" s="118">
        <f t="shared" si="18"/>
        <v>0.10904255319148937</v>
      </c>
      <c r="BE24" s="118">
        <f t="shared" si="18"/>
        <v>0.10904255319148937</v>
      </c>
      <c r="BF24" s="118">
        <f t="shared" si="18"/>
        <v>0.10904255319148937</v>
      </c>
      <c r="BG24" s="118">
        <f t="shared" si="18"/>
        <v>0.10904255319148937</v>
      </c>
      <c r="BH24" s="118">
        <f t="shared" si="18"/>
        <v>0.10904255319148937</v>
      </c>
      <c r="BI24" s="118">
        <f t="shared" si="18"/>
        <v>0.10904255319148937</v>
      </c>
      <c r="BJ24" s="118">
        <f t="shared" si="18"/>
        <v>0.10904255319148937</v>
      </c>
      <c r="BK24" s="202">
        <v>21.335999999999999</v>
      </c>
      <c r="BL24" s="202">
        <v>21.335999999999999</v>
      </c>
      <c r="BM24" s="202">
        <v>21.335999999999999</v>
      </c>
      <c r="BN24" s="202">
        <v>21.335999999999999</v>
      </c>
      <c r="BO24" s="202">
        <v>21.335999999999999</v>
      </c>
      <c r="BP24" s="202">
        <v>11.321</v>
      </c>
      <c r="BQ24" s="202">
        <v>11.321</v>
      </c>
      <c r="BR24" s="202">
        <v>11.321</v>
      </c>
      <c r="BS24" s="202">
        <v>11.321</v>
      </c>
      <c r="BT24" s="202">
        <v>11.321</v>
      </c>
      <c r="BU24" s="202">
        <v>11.321</v>
      </c>
      <c r="BV24" s="202">
        <v>11.321</v>
      </c>
      <c r="BW24" s="202">
        <v>1.107</v>
      </c>
      <c r="BX24" s="202">
        <v>1.107</v>
      </c>
      <c r="BY24" s="202">
        <v>1.107</v>
      </c>
      <c r="BZ24" s="202">
        <v>1.107</v>
      </c>
      <c r="CA24" s="202">
        <v>1.107</v>
      </c>
      <c r="CB24" s="202">
        <v>1.107</v>
      </c>
      <c r="CC24" s="202">
        <v>1.107</v>
      </c>
      <c r="CD24" s="202">
        <v>1.107</v>
      </c>
      <c r="CE24" s="202">
        <v>1.107</v>
      </c>
      <c r="CF24" s="202">
        <v>1.107</v>
      </c>
      <c r="CG24" s="202">
        <v>1.107</v>
      </c>
      <c r="CH24" s="202">
        <v>1.107</v>
      </c>
    </row>
    <row r="25" spans="1:86" ht="50.1" customHeight="1" x14ac:dyDescent="0.25">
      <c r="A25" s="116" t="s">
        <v>363</v>
      </c>
      <c r="B25" s="172" t="s">
        <v>375</v>
      </c>
      <c r="C25" s="118" t="s">
        <v>4</v>
      </c>
      <c r="D25" s="118" t="s">
        <v>4</v>
      </c>
      <c r="E25" s="118" t="s">
        <v>4</v>
      </c>
      <c r="F25" s="118" t="s">
        <v>4</v>
      </c>
      <c r="G25" s="118" t="s">
        <v>4</v>
      </c>
      <c r="H25" s="118" t="s">
        <v>4</v>
      </c>
      <c r="I25" s="118" t="s">
        <v>4</v>
      </c>
      <c r="J25" s="118" t="s">
        <v>4</v>
      </c>
      <c r="K25" s="118" t="s">
        <v>4</v>
      </c>
      <c r="L25" s="118" t="s">
        <v>4</v>
      </c>
      <c r="M25" s="118" t="s">
        <v>4</v>
      </c>
      <c r="N25" s="118" t="s">
        <v>4</v>
      </c>
      <c r="O25" s="118" t="s">
        <v>4</v>
      </c>
      <c r="P25" s="118" t="s">
        <v>4</v>
      </c>
      <c r="Q25" s="118" t="s">
        <v>4</v>
      </c>
      <c r="R25" s="118" t="s">
        <v>4</v>
      </c>
      <c r="S25" s="118" t="s">
        <v>4</v>
      </c>
      <c r="T25" s="118" t="s">
        <v>4</v>
      </c>
      <c r="U25" s="118" t="s">
        <v>4</v>
      </c>
      <c r="V25" s="118" t="s">
        <v>4</v>
      </c>
      <c r="W25" s="118" t="s">
        <v>4</v>
      </c>
      <c r="X25" s="118" t="s">
        <v>4</v>
      </c>
      <c r="Y25" s="118" t="s">
        <v>4</v>
      </c>
      <c r="Z25" s="118" t="s">
        <v>4</v>
      </c>
      <c r="AA25" s="118" t="s">
        <v>4</v>
      </c>
      <c r="AB25" s="118" t="s">
        <v>4</v>
      </c>
      <c r="AC25" s="118" t="s">
        <v>4</v>
      </c>
      <c r="AD25" s="118" t="s">
        <v>4</v>
      </c>
      <c r="AE25" s="118" t="s">
        <v>4</v>
      </c>
      <c r="AF25" s="118" t="s">
        <v>4</v>
      </c>
      <c r="AG25" s="118" t="s">
        <v>4</v>
      </c>
      <c r="AH25" s="118" t="s">
        <v>4</v>
      </c>
      <c r="AI25" s="118" t="s">
        <v>4</v>
      </c>
      <c r="AJ25" s="118" t="s">
        <v>4</v>
      </c>
      <c r="AK25" s="118" t="s">
        <v>4</v>
      </c>
      <c r="AL25" s="118" t="s">
        <v>4</v>
      </c>
      <c r="AM25" s="118">
        <f>BK25/8.64</f>
        <v>2.1012731481481484</v>
      </c>
      <c r="AN25" s="118">
        <f t="shared" ref="AN25:BJ25" si="19">BL25/8.64</f>
        <v>2.1012731481481484</v>
      </c>
      <c r="AO25" s="118">
        <f t="shared" si="19"/>
        <v>2.1012731481481484</v>
      </c>
      <c r="AP25" s="118">
        <f t="shared" si="19"/>
        <v>2.1012731481481484</v>
      </c>
      <c r="AQ25" s="118">
        <f t="shared" si="19"/>
        <v>2.1012731481481484</v>
      </c>
      <c r="AR25" s="118">
        <f t="shared" si="19"/>
        <v>1.1146990740740741</v>
      </c>
      <c r="AS25" s="118">
        <f t="shared" si="19"/>
        <v>1.1146990740740741</v>
      </c>
      <c r="AT25" s="118">
        <f t="shared" si="19"/>
        <v>1.1146990740740741</v>
      </c>
      <c r="AU25" s="118">
        <f t="shared" si="19"/>
        <v>1.1146990740740741</v>
      </c>
      <c r="AV25" s="118">
        <f t="shared" si="19"/>
        <v>1.1146990740740741</v>
      </c>
      <c r="AW25" s="118">
        <f t="shared" si="19"/>
        <v>1.1146990740740741</v>
      </c>
      <c r="AX25" s="118">
        <f t="shared" si="19"/>
        <v>1.1146990740740741</v>
      </c>
      <c r="AY25" s="118">
        <f t="shared" si="19"/>
        <v>0.10902777777777777</v>
      </c>
      <c r="AZ25" s="118">
        <f t="shared" si="19"/>
        <v>0.10902777777777777</v>
      </c>
      <c r="BA25" s="118">
        <f t="shared" si="19"/>
        <v>0.10902777777777777</v>
      </c>
      <c r="BB25" s="118">
        <f t="shared" si="19"/>
        <v>0.10902777777777777</v>
      </c>
      <c r="BC25" s="118">
        <f t="shared" si="19"/>
        <v>0.10902777777777777</v>
      </c>
      <c r="BD25" s="118">
        <f t="shared" si="19"/>
        <v>0.10902777777777777</v>
      </c>
      <c r="BE25" s="118">
        <f t="shared" si="19"/>
        <v>0.10902777777777777</v>
      </c>
      <c r="BF25" s="118">
        <f t="shared" si="19"/>
        <v>0.10902777777777777</v>
      </c>
      <c r="BG25" s="118">
        <f t="shared" si="19"/>
        <v>0.10902777777777777</v>
      </c>
      <c r="BH25" s="118">
        <f t="shared" si="19"/>
        <v>0.10902777777777777</v>
      </c>
      <c r="BI25" s="118">
        <f t="shared" si="19"/>
        <v>0.10902777777777777</v>
      </c>
      <c r="BJ25" s="118">
        <f t="shared" si="19"/>
        <v>0.10902777777777777</v>
      </c>
      <c r="BK25" s="202">
        <v>18.155000000000001</v>
      </c>
      <c r="BL25" s="202">
        <v>18.155000000000001</v>
      </c>
      <c r="BM25" s="202">
        <v>18.155000000000001</v>
      </c>
      <c r="BN25" s="202">
        <v>18.155000000000001</v>
      </c>
      <c r="BO25" s="202">
        <v>18.155000000000001</v>
      </c>
      <c r="BP25" s="202">
        <v>9.6310000000000002</v>
      </c>
      <c r="BQ25" s="202">
        <v>9.6310000000000002</v>
      </c>
      <c r="BR25" s="202">
        <v>9.6310000000000002</v>
      </c>
      <c r="BS25" s="202">
        <v>9.6310000000000002</v>
      </c>
      <c r="BT25" s="202">
        <v>9.6310000000000002</v>
      </c>
      <c r="BU25" s="202">
        <v>9.6310000000000002</v>
      </c>
      <c r="BV25" s="202">
        <v>9.6310000000000002</v>
      </c>
      <c r="BW25" s="202">
        <v>0.94199999999999995</v>
      </c>
      <c r="BX25" s="202">
        <v>0.94199999999999995</v>
      </c>
      <c r="BY25" s="202">
        <v>0.94199999999999995</v>
      </c>
      <c r="BZ25" s="202">
        <v>0.94199999999999995</v>
      </c>
      <c r="CA25" s="202">
        <v>0.94199999999999995</v>
      </c>
      <c r="CB25" s="202">
        <v>0.94199999999999995</v>
      </c>
      <c r="CC25" s="202">
        <v>0.94199999999999995</v>
      </c>
      <c r="CD25" s="202">
        <v>0.94199999999999995</v>
      </c>
      <c r="CE25" s="202">
        <v>0.94199999999999995</v>
      </c>
      <c r="CF25" s="202">
        <v>0.94199999999999995</v>
      </c>
      <c r="CG25" s="202">
        <v>0.94199999999999995</v>
      </c>
      <c r="CH25" s="202">
        <v>0.94199999999999995</v>
      </c>
    </row>
    <row r="26" spans="1:86" ht="50.1" customHeight="1" x14ac:dyDescent="0.25">
      <c r="A26" s="116" t="s">
        <v>364</v>
      </c>
      <c r="B26" s="172" t="s">
        <v>376</v>
      </c>
      <c r="C26" s="118" t="s">
        <v>4</v>
      </c>
      <c r="D26" s="118" t="s">
        <v>4</v>
      </c>
      <c r="E26" s="118" t="s">
        <v>4</v>
      </c>
      <c r="F26" s="118" t="s">
        <v>4</v>
      </c>
      <c r="G26" s="118" t="s">
        <v>4</v>
      </c>
      <c r="H26" s="118" t="s">
        <v>4</v>
      </c>
      <c r="I26" s="118" t="s">
        <v>4</v>
      </c>
      <c r="J26" s="118" t="s">
        <v>4</v>
      </c>
      <c r="K26" s="118" t="s">
        <v>4</v>
      </c>
      <c r="L26" s="118" t="s">
        <v>4</v>
      </c>
      <c r="M26" s="118" t="s">
        <v>4</v>
      </c>
      <c r="N26" s="118" t="s">
        <v>4</v>
      </c>
      <c r="O26" s="118" t="s">
        <v>4</v>
      </c>
      <c r="P26" s="118" t="s">
        <v>4</v>
      </c>
      <c r="Q26" s="118" t="s">
        <v>4</v>
      </c>
      <c r="R26" s="118" t="s">
        <v>4</v>
      </c>
      <c r="S26" s="118" t="s">
        <v>4</v>
      </c>
      <c r="T26" s="118" t="s">
        <v>4</v>
      </c>
      <c r="U26" s="118" t="s">
        <v>4</v>
      </c>
      <c r="V26" s="118" t="s">
        <v>4</v>
      </c>
      <c r="W26" s="118" t="s">
        <v>4</v>
      </c>
      <c r="X26" s="118" t="s">
        <v>4</v>
      </c>
      <c r="Y26" s="118" t="s">
        <v>4</v>
      </c>
      <c r="Z26" s="118" t="s">
        <v>4</v>
      </c>
      <c r="AA26" s="118" t="s">
        <v>4</v>
      </c>
      <c r="AB26" s="118" t="s">
        <v>4</v>
      </c>
      <c r="AC26" s="118" t="s">
        <v>4</v>
      </c>
      <c r="AD26" s="118" t="s">
        <v>4</v>
      </c>
      <c r="AE26" s="118" t="s">
        <v>4</v>
      </c>
      <c r="AF26" s="118" t="s">
        <v>4</v>
      </c>
      <c r="AG26" s="118" t="s">
        <v>4</v>
      </c>
      <c r="AH26" s="118" t="s">
        <v>4</v>
      </c>
      <c r="AI26" s="118" t="s">
        <v>4</v>
      </c>
      <c r="AJ26" s="118" t="s">
        <v>4</v>
      </c>
      <c r="AK26" s="118" t="s">
        <v>4</v>
      </c>
      <c r="AL26" s="118" t="s">
        <v>4</v>
      </c>
      <c r="AM26" s="118">
        <f>BK26/1.246</f>
        <v>2.2648475120385232</v>
      </c>
      <c r="AN26" s="118">
        <f t="shared" ref="AN26:BJ26" si="20">BL26/1.246</f>
        <v>2.2648475120385232</v>
      </c>
      <c r="AO26" s="118">
        <f t="shared" si="20"/>
        <v>2.2648475120385232</v>
      </c>
      <c r="AP26" s="118">
        <f t="shared" si="20"/>
        <v>2.2648475120385232</v>
      </c>
      <c r="AQ26" s="118">
        <f t="shared" si="20"/>
        <v>2.2648475120385232</v>
      </c>
      <c r="AR26" s="118">
        <f t="shared" si="20"/>
        <v>1.247191011235955</v>
      </c>
      <c r="AS26" s="118">
        <f t="shared" si="20"/>
        <v>1.247191011235955</v>
      </c>
      <c r="AT26" s="118">
        <f t="shared" si="20"/>
        <v>1.247191011235955</v>
      </c>
      <c r="AU26" s="118">
        <f t="shared" si="20"/>
        <v>1.247191011235955</v>
      </c>
      <c r="AV26" s="118">
        <f t="shared" si="20"/>
        <v>1.247191011235955</v>
      </c>
      <c r="AW26" s="118">
        <f t="shared" si="20"/>
        <v>1.247191011235955</v>
      </c>
      <c r="AX26" s="118">
        <f t="shared" si="20"/>
        <v>1.247191011235955</v>
      </c>
      <c r="AY26" s="118">
        <f t="shared" si="20"/>
        <v>8.5072231139646862E-2</v>
      </c>
      <c r="AZ26" s="118">
        <f t="shared" si="20"/>
        <v>8.5072231139646862E-2</v>
      </c>
      <c r="BA26" s="118">
        <f t="shared" si="20"/>
        <v>8.5072231139646862E-2</v>
      </c>
      <c r="BB26" s="118">
        <f t="shared" si="20"/>
        <v>8.5072231139646862E-2</v>
      </c>
      <c r="BC26" s="118">
        <f t="shared" si="20"/>
        <v>8.5072231139646862E-2</v>
      </c>
      <c r="BD26" s="118">
        <f t="shared" si="20"/>
        <v>8.5072231139646862E-2</v>
      </c>
      <c r="BE26" s="118">
        <f t="shared" si="20"/>
        <v>8.5072231139646862E-2</v>
      </c>
      <c r="BF26" s="118">
        <f t="shared" si="20"/>
        <v>8.5072231139646862E-2</v>
      </c>
      <c r="BG26" s="118">
        <f t="shared" si="20"/>
        <v>8.5072231139646862E-2</v>
      </c>
      <c r="BH26" s="118">
        <f t="shared" si="20"/>
        <v>8.5072231139646862E-2</v>
      </c>
      <c r="BI26" s="118">
        <f t="shared" si="20"/>
        <v>8.5072231139646862E-2</v>
      </c>
      <c r="BJ26" s="118">
        <f t="shared" si="20"/>
        <v>8.5072231139646862E-2</v>
      </c>
      <c r="BK26" s="202">
        <v>2.8220000000000001</v>
      </c>
      <c r="BL26" s="202">
        <v>2.8220000000000001</v>
      </c>
      <c r="BM26" s="202">
        <v>2.8220000000000001</v>
      </c>
      <c r="BN26" s="202">
        <v>2.8220000000000001</v>
      </c>
      <c r="BO26" s="202">
        <v>2.8220000000000001</v>
      </c>
      <c r="BP26" s="202">
        <v>1.554</v>
      </c>
      <c r="BQ26" s="202">
        <v>1.554</v>
      </c>
      <c r="BR26" s="202">
        <v>1.554</v>
      </c>
      <c r="BS26" s="202">
        <v>1.554</v>
      </c>
      <c r="BT26" s="202">
        <v>1.554</v>
      </c>
      <c r="BU26" s="202">
        <v>1.554</v>
      </c>
      <c r="BV26" s="202">
        <v>1.554</v>
      </c>
      <c r="BW26" s="202">
        <v>0.106</v>
      </c>
      <c r="BX26" s="202">
        <v>0.106</v>
      </c>
      <c r="BY26" s="202">
        <v>0.106</v>
      </c>
      <c r="BZ26" s="202">
        <v>0.106</v>
      </c>
      <c r="CA26" s="202">
        <v>0.106</v>
      </c>
      <c r="CB26" s="202">
        <v>0.106</v>
      </c>
      <c r="CC26" s="202">
        <v>0.106</v>
      </c>
      <c r="CD26" s="202">
        <v>0.106</v>
      </c>
      <c r="CE26" s="202">
        <v>0.106</v>
      </c>
      <c r="CF26" s="202">
        <v>0.106</v>
      </c>
      <c r="CG26" s="202">
        <v>0.106</v>
      </c>
      <c r="CH26" s="202">
        <v>0.106</v>
      </c>
    </row>
    <row r="27" spans="1:86" ht="50.1" customHeight="1" x14ac:dyDescent="0.25">
      <c r="A27" s="116" t="s">
        <v>365</v>
      </c>
      <c r="B27" s="172" t="s">
        <v>377</v>
      </c>
      <c r="C27" s="118" t="s">
        <v>4</v>
      </c>
      <c r="D27" s="118" t="s">
        <v>4</v>
      </c>
      <c r="E27" s="118" t="s">
        <v>4</v>
      </c>
      <c r="F27" s="118" t="s">
        <v>4</v>
      </c>
      <c r="G27" s="118" t="s">
        <v>4</v>
      </c>
      <c r="H27" s="118" t="s">
        <v>4</v>
      </c>
      <c r="I27" s="118" t="s">
        <v>4</v>
      </c>
      <c r="J27" s="118" t="s">
        <v>4</v>
      </c>
      <c r="K27" s="118" t="s">
        <v>4</v>
      </c>
      <c r="L27" s="118" t="s">
        <v>4</v>
      </c>
      <c r="M27" s="118" t="s">
        <v>4</v>
      </c>
      <c r="N27" s="118" t="s">
        <v>4</v>
      </c>
      <c r="O27" s="118" t="s">
        <v>4</v>
      </c>
      <c r="P27" s="118" t="s">
        <v>4</v>
      </c>
      <c r="Q27" s="118" t="s">
        <v>4</v>
      </c>
      <c r="R27" s="118" t="s">
        <v>4</v>
      </c>
      <c r="S27" s="118" t="s">
        <v>4</v>
      </c>
      <c r="T27" s="118" t="s">
        <v>4</v>
      </c>
      <c r="U27" s="118" t="s">
        <v>4</v>
      </c>
      <c r="V27" s="118" t="s">
        <v>4</v>
      </c>
      <c r="W27" s="118" t="s">
        <v>4</v>
      </c>
      <c r="X27" s="118" t="s">
        <v>4</v>
      </c>
      <c r="Y27" s="118" t="s">
        <v>4</v>
      </c>
      <c r="Z27" s="118" t="s">
        <v>4</v>
      </c>
      <c r="AA27" s="118" t="s">
        <v>4</v>
      </c>
      <c r="AB27" s="118" t="s">
        <v>4</v>
      </c>
      <c r="AC27" s="118" t="s">
        <v>4</v>
      </c>
      <c r="AD27" s="118" t="s">
        <v>4</v>
      </c>
      <c r="AE27" s="118" t="s">
        <v>4</v>
      </c>
      <c r="AF27" s="118" t="s">
        <v>4</v>
      </c>
      <c r="AG27" s="118" t="s">
        <v>4</v>
      </c>
      <c r="AH27" s="118" t="s">
        <v>4</v>
      </c>
      <c r="AI27" s="118" t="s">
        <v>4</v>
      </c>
      <c r="AJ27" s="118" t="s">
        <v>4</v>
      </c>
      <c r="AK27" s="118" t="s">
        <v>4</v>
      </c>
      <c r="AL27" s="118" t="s">
        <v>4</v>
      </c>
      <c r="AM27" s="118">
        <f>BK27/3.132</f>
        <v>2.1005747126436778</v>
      </c>
      <c r="AN27" s="118">
        <f t="shared" ref="AN27:BJ27" si="21">BL27/3.132</f>
        <v>2.1005747126436778</v>
      </c>
      <c r="AO27" s="118">
        <f t="shared" si="21"/>
        <v>2.1005747126436778</v>
      </c>
      <c r="AP27" s="118">
        <f t="shared" si="21"/>
        <v>2.1005747126436778</v>
      </c>
      <c r="AQ27" s="118">
        <f t="shared" si="21"/>
        <v>2.1005747126436778</v>
      </c>
      <c r="AR27" s="118">
        <f t="shared" si="21"/>
        <v>1.114942528735632</v>
      </c>
      <c r="AS27" s="118">
        <f t="shared" si="21"/>
        <v>1.114942528735632</v>
      </c>
      <c r="AT27" s="118">
        <f t="shared" si="21"/>
        <v>1.114942528735632</v>
      </c>
      <c r="AU27" s="118">
        <f t="shared" si="21"/>
        <v>1.114942528735632</v>
      </c>
      <c r="AV27" s="118">
        <f t="shared" si="21"/>
        <v>1.114942528735632</v>
      </c>
      <c r="AW27" s="118">
        <f t="shared" si="21"/>
        <v>1.114942528735632</v>
      </c>
      <c r="AX27" s="118">
        <f t="shared" si="21"/>
        <v>1.114942528735632</v>
      </c>
      <c r="AY27" s="118">
        <f t="shared" si="21"/>
        <v>0.10919540229885058</v>
      </c>
      <c r="AZ27" s="118">
        <f t="shared" si="21"/>
        <v>0.10919540229885058</v>
      </c>
      <c r="BA27" s="118">
        <f t="shared" si="21"/>
        <v>0.10919540229885058</v>
      </c>
      <c r="BB27" s="118">
        <f t="shared" si="21"/>
        <v>0.10919540229885058</v>
      </c>
      <c r="BC27" s="118">
        <f t="shared" si="21"/>
        <v>0.10919540229885058</v>
      </c>
      <c r="BD27" s="118">
        <f t="shared" si="21"/>
        <v>0.10919540229885058</v>
      </c>
      <c r="BE27" s="118">
        <f t="shared" si="21"/>
        <v>0.10919540229885058</v>
      </c>
      <c r="BF27" s="118">
        <f t="shared" si="21"/>
        <v>0.10919540229885058</v>
      </c>
      <c r="BG27" s="118">
        <f t="shared" si="21"/>
        <v>0.10919540229885058</v>
      </c>
      <c r="BH27" s="118">
        <f t="shared" si="21"/>
        <v>0.10919540229885058</v>
      </c>
      <c r="BI27" s="118">
        <f t="shared" si="21"/>
        <v>0.10919540229885058</v>
      </c>
      <c r="BJ27" s="118">
        <f t="shared" si="21"/>
        <v>0.10919540229885058</v>
      </c>
      <c r="BK27" s="202">
        <v>6.5789999999999997</v>
      </c>
      <c r="BL27" s="202">
        <v>6.5789999999999997</v>
      </c>
      <c r="BM27" s="202">
        <v>6.5789999999999997</v>
      </c>
      <c r="BN27" s="202">
        <v>6.5789999999999997</v>
      </c>
      <c r="BO27" s="202">
        <v>6.5789999999999997</v>
      </c>
      <c r="BP27" s="202">
        <v>3.492</v>
      </c>
      <c r="BQ27" s="202">
        <v>3.492</v>
      </c>
      <c r="BR27" s="202">
        <v>3.492</v>
      </c>
      <c r="BS27" s="202">
        <v>3.492</v>
      </c>
      <c r="BT27" s="202">
        <v>3.492</v>
      </c>
      <c r="BU27" s="202">
        <v>3.492</v>
      </c>
      <c r="BV27" s="202">
        <v>3.492</v>
      </c>
      <c r="BW27" s="202">
        <v>0.34200000000000003</v>
      </c>
      <c r="BX27" s="202">
        <v>0.34200000000000003</v>
      </c>
      <c r="BY27" s="202">
        <v>0.34200000000000003</v>
      </c>
      <c r="BZ27" s="202">
        <v>0.34200000000000003</v>
      </c>
      <c r="CA27" s="202">
        <v>0.34200000000000003</v>
      </c>
      <c r="CB27" s="202">
        <v>0.34200000000000003</v>
      </c>
      <c r="CC27" s="202">
        <v>0.34200000000000003</v>
      </c>
      <c r="CD27" s="202">
        <v>0.34200000000000003</v>
      </c>
      <c r="CE27" s="202">
        <v>0.34200000000000003</v>
      </c>
      <c r="CF27" s="202">
        <v>0.34200000000000003</v>
      </c>
      <c r="CG27" s="202">
        <v>0.34200000000000003</v>
      </c>
      <c r="CH27" s="202">
        <v>0.34200000000000003</v>
      </c>
    </row>
    <row r="28" spans="1:86" ht="50.1" customHeight="1" x14ac:dyDescent="0.25">
      <c r="A28" s="116" t="s">
        <v>366</v>
      </c>
      <c r="B28" s="172" t="s">
        <v>378</v>
      </c>
      <c r="C28" s="118" t="s">
        <v>4</v>
      </c>
      <c r="D28" s="118" t="s">
        <v>4</v>
      </c>
      <c r="E28" s="118" t="s">
        <v>4</v>
      </c>
      <c r="F28" s="118" t="s">
        <v>4</v>
      </c>
      <c r="G28" s="118" t="s">
        <v>4</v>
      </c>
      <c r="H28" s="118" t="s">
        <v>4</v>
      </c>
      <c r="I28" s="118" t="s">
        <v>4</v>
      </c>
      <c r="J28" s="118" t="s">
        <v>4</v>
      </c>
      <c r="K28" s="118" t="s">
        <v>4</v>
      </c>
      <c r="L28" s="118" t="s">
        <v>4</v>
      </c>
      <c r="M28" s="118" t="s">
        <v>4</v>
      </c>
      <c r="N28" s="118" t="s">
        <v>4</v>
      </c>
      <c r="O28" s="118" t="s">
        <v>4</v>
      </c>
      <c r="P28" s="118" t="s">
        <v>4</v>
      </c>
      <c r="Q28" s="118" t="s">
        <v>4</v>
      </c>
      <c r="R28" s="118" t="s">
        <v>4</v>
      </c>
      <c r="S28" s="118" t="s">
        <v>4</v>
      </c>
      <c r="T28" s="118" t="s">
        <v>4</v>
      </c>
      <c r="U28" s="118" t="s">
        <v>4</v>
      </c>
      <c r="V28" s="118" t="s">
        <v>4</v>
      </c>
      <c r="W28" s="118" t="s">
        <v>4</v>
      </c>
      <c r="X28" s="118" t="s">
        <v>4</v>
      </c>
      <c r="Y28" s="118" t="s">
        <v>4</v>
      </c>
      <c r="Z28" s="118" t="s">
        <v>4</v>
      </c>
      <c r="AA28" s="118" t="s">
        <v>4</v>
      </c>
      <c r="AB28" s="118" t="s">
        <v>4</v>
      </c>
      <c r="AC28" s="118" t="s">
        <v>4</v>
      </c>
      <c r="AD28" s="118" t="s">
        <v>4</v>
      </c>
      <c r="AE28" s="118" t="s">
        <v>4</v>
      </c>
      <c r="AF28" s="118" t="s">
        <v>4</v>
      </c>
      <c r="AG28" s="118" t="s">
        <v>4</v>
      </c>
      <c r="AH28" s="118" t="s">
        <v>4</v>
      </c>
      <c r="AI28" s="118" t="s">
        <v>4</v>
      </c>
      <c r="AJ28" s="118" t="s">
        <v>4</v>
      </c>
      <c r="AK28" s="118" t="s">
        <v>4</v>
      </c>
      <c r="AL28" s="118" t="s">
        <v>4</v>
      </c>
      <c r="AM28" s="118">
        <f>BK28/3.24</f>
        <v>2.1009259259259259</v>
      </c>
      <c r="AN28" s="118">
        <f t="shared" ref="AN28:BJ28" si="22">BL28/3.24</f>
        <v>2.1009259259259259</v>
      </c>
      <c r="AO28" s="118">
        <f t="shared" si="22"/>
        <v>2.1009259259259259</v>
      </c>
      <c r="AP28" s="118">
        <f t="shared" si="22"/>
        <v>2.1009259259259259</v>
      </c>
      <c r="AQ28" s="118">
        <f t="shared" si="22"/>
        <v>2.1009259259259259</v>
      </c>
      <c r="AR28" s="118">
        <f t="shared" si="22"/>
        <v>1.1145061728395063</v>
      </c>
      <c r="AS28" s="118">
        <f t="shared" si="22"/>
        <v>1.1145061728395063</v>
      </c>
      <c r="AT28" s="118">
        <f t="shared" si="22"/>
        <v>1.1145061728395063</v>
      </c>
      <c r="AU28" s="118">
        <f t="shared" si="22"/>
        <v>1.1145061728395063</v>
      </c>
      <c r="AV28" s="118">
        <f t="shared" si="22"/>
        <v>1.1145061728395063</v>
      </c>
      <c r="AW28" s="118">
        <f t="shared" si="22"/>
        <v>1.1145061728395063</v>
      </c>
      <c r="AX28" s="118">
        <f t="shared" si="22"/>
        <v>1.1145061728395063</v>
      </c>
      <c r="AY28" s="118">
        <f t="shared" si="22"/>
        <v>0.1089506172839506</v>
      </c>
      <c r="AZ28" s="118">
        <f t="shared" si="22"/>
        <v>0.1089506172839506</v>
      </c>
      <c r="BA28" s="118">
        <f t="shared" si="22"/>
        <v>0.1089506172839506</v>
      </c>
      <c r="BB28" s="118">
        <f t="shared" si="22"/>
        <v>0.1089506172839506</v>
      </c>
      <c r="BC28" s="118">
        <f t="shared" si="22"/>
        <v>0.1089506172839506</v>
      </c>
      <c r="BD28" s="118">
        <f t="shared" si="22"/>
        <v>0.1089506172839506</v>
      </c>
      <c r="BE28" s="118">
        <f t="shared" si="22"/>
        <v>0.1089506172839506</v>
      </c>
      <c r="BF28" s="118">
        <f t="shared" si="22"/>
        <v>0.1089506172839506</v>
      </c>
      <c r="BG28" s="118">
        <f t="shared" si="22"/>
        <v>0.1089506172839506</v>
      </c>
      <c r="BH28" s="118">
        <f t="shared" si="22"/>
        <v>0.1089506172839506</v>
      </c>
      <c r="BI28" s="118">
        <f t="shared" si="22"/>
        <v>0.1089506172839506</v>
      </c>
      <c r="BJ28" s="118">
        <f t="shared" si="22"/>
        <v>0.1089506172839506</v>
      </c>
      <c r="BK28" s="202">
        <v>6.8070000000000004</v>
      </c>
      <c r="BL28" s="202">
        <v>6.8070000000000004</v>
      </c>
      <c r="BM28" s="202">
        <v>6.8070000000000004</v>
      </c>
      <c r="BN28" s="202">
        <v>6.8070000000000004</v>
      </c>
      <c r="BO28" s="202">
        <v>6.8070000000000004</v>
      </c>
      <c r="BP28" s="202">
        <v>3.6110000000000002</v>
      </c>
      <c r="BQ28" s="202">
        <v>3.6110000000000002</v>
      </c>
      <c r="BR28" s="202">
        <v>3.6110000000000002</v>
      </c>
      <c r="BS28" s="202">
        <v>3.6110000000000002</v>
      </c>
      <c r="BT28" s="202">
        <v>3.6110000000000002</v>
      </c>
      <c r="BU28" s="202">
        <v>3.6110000000000002</v>
      </c>
      <c r="BV28" s="202">
        <v>3.6110000000000002</v>
      </c>
      <c r="BW28" s="202">
        <v>0.35299999999999998</v>
      </c>
      <c r="BX28" s="202">
        <v>0.35299999999999998</v>
      </c>
      <c r="BY28" s="202">
        <v>0.35299999999999998</v>
      </c>
      <c r="BZ28" s="202">
        <v>0.35299999999999998</v>
      </c>
      <c r="CA28" s="202">
        <v>0.35299999999999998</v>
      </c>
      <c r="CB28" s="202">
        <v>0.35299999999999998</v>
      </c>
      <c r="CC28" s="202">
        <v>0.35299999999999998</v>
      </c>
      <c r="CD28" s="202">
        <v>0.35299999999999998</v>
      </c>
      <c r="CE28" s="202">
        <v>0.35299999999999998</v>
      </c>
      <c r="CF28" s="202">
        <v>0.35299999999999998</v>
      </c>
      <c r="CG28" s="202">
        <v>0.35299999999999998</v>
      </c>
      <c r="CH28" s="202">
        <v>0.35299999999999998</v>
      </c>
    </row>
    <row r="29" spans="1:86" ht="50.1" customHeight="1" x14ac:dyDescent="0.25">
      <c r="A29" s="116" t="s">
        <v>367</v>
      </c>
      <c r="B29" s="172" t="s">
        <v>379</v>
      </c>
      <c r="C29" s="118" t="s">
        <v>4</v>
      </c>
      <c r="D29" s="118" t="s">
        <v>4</v>
      </c>
      <c r="E29" s="118" t="s">
        <v>4</v>
      </c>
      <c r="F29" s="118" t="s">
        <v>4</v>
      </c>
      <c r="G29" s="118" t="s">
        <v>4</v>
      </c>
      <c r="H29" s="118" t="s">
        <v>4</v>
      </c>
      <c r="I29" s="118" t="s">
        <v>4</v>
      </c>
      <c r="J29" s="118" t="s">
        <v>4</v>
      </c>
      <c r="K29" s="118" t="s">
        <v>4</v>
      </c>
      <c r="L29" s="118" t="s">
        <v>4</v>
      </c>
      <c r="M29" s="118" t="s">
        <v>4</v>
      </c>
      <c r="N29" s="118" t="s">
        <v>4</v>
      </c>
      <c r="O29" s="118" t="s">
        <v>4</v>
      </c>
      <c r="P29" s="118" t="s">
        <v>4</v>
      </c>
      <c r="Q29" s="118" t="s">
        <v>4</v>
      </c>
      <c r="R29" s="118" t="s">
        <v>4</v>
      </c>
      <c r="S29" s="118" t="s">
        <v>4</v>
      </c>
      <c r="T29" s="118" t="s">
        <v>4</v>
      </c>
      <c r="U29" s="118" t="s">
        <v>4</v>
      </c>
      <c r="V29" s="118" t="s">
        <v>4</v>
      </c>
      <c r="W29" s="118" t="s">
        <v>4</v>
      </c>
      <c r="X29" s="118" t="s">
        <v>4</v>
      </c>
      <c r="Y29" s="118" t="s">
        <v>4</v>
      </c>
      <c r="Z29" s="118" t="s">
        <v>4</v>
      </c>
      <c r="AA29" s="118" t="s">
        <v>4</v>
      </c>
      <c r="AB29" s="118" t="s">
        <v>4</v>
      </c>
      <c r="AC29" s="118" t="s">
        <v>4</v>
      </c>
      <c r="AD29" s="118" t="s">
        <v>4</v>
      </c>
      <c r="AE29" s="118" t="s">
        <v>4</v>
      </c>
      <c r="AF29" s="118" t="s">
        <v>4</v>
      </c>
      <c r="AG29" s="118" t="s">
        <v>4</v>
      </c>
      <c r="AH29" s="118" t="s">
        <v>4</v>
      </c>
      <c r="AI29" s="118" t="s">
        <v>4</v>
      </c>
      <c r="AJ29" s="118" t="s">
        <v>4</v>
      </c>
      <c r="AK29" s="118" t="s">
        <v>4</v>
      </c>
      <c r="AL29" s="118" t="s">
        <v>4</v>
      </c>
      <c r="AM29" s="118">
        <f>BK29/2.5272</f>
        <v>2.1316081038303256</v>
      </c>
      <c r="AN29" s="118">
        <f t="shared" ref="AN29:BJ29" si="23">BL29/2.5272</f>
        <v>2.1316081038303256</v>
      </c>
      <c r="AO29" s="118">
        <f t="shared" si="23"/>
        <v>2.1316081038303256</v>
      </c>
      <c r="AP29" s="118">
        <f t="shared" si="23"/>
        <v>2.1316081038303256</v>
      </c>
      <c r="AQ29" s="118">
        <f t="shared" si="23"/>
        <v>2.1316081038303256</v>
      </c>
      <c r="AR29" s="118">
        <f t="shared" si="23"/>
        <v>0.84480848369737249</v>
      </c>
      <c r="AS29" s="118">
        <f t="shared" si="23"/>
        <v>0.84480848369737249</v>
      </c>
      <c r="AT29" s="118">
        <f t="shared" si="23"/>
        <v>0.84480848369737249</v>
      </c>
      <c r="AU29" s="118">
        <f t="shared" si="23"/>
        <v>0.84480848369737249</v>
      </c>
      <c r="AV29" s="118">
        <f t="shared" si="23"/>
        <v>0.84480848369737249</v>
      </c>
      <c r="AW29" s="118">
        <f t="shared" si="23"/>
        <v>0.84480848369737249</v>
      </c>
      <c r="AX29" s="118">
        <f t="shared" si="23"/>
        <v>0.84480848369737249</v>
      </c>
      <c r="AY29" s="118">
        <f t="shared" si="23"/>
        <v>0.10921177587844255</v>
      </c>
      <c r="AZ29" s="118">
        <f t="shared" si="23"/>
        <v>0.10921177587844255</v>
      </c>
      <c r="BA29" s="118">
        <f t="shared" si="23"/>
        <v>0.10921177587844255</v>
      </c>
      <c r="BB29" s="118">
        <f t="shared" si="23"/>
        <v>0.10921177587844255</v>
      </c>
      <c r="BC29" s="118">
        <f t="shared" si="23"/>
        <v>0.10921177587844255</v>
      </c>
      <c r="BD29" s="118">
        <f t="shared" si="23"/>
        <v>0.10921177587844255</v>
      </c>
      <c r="BE29" s="118">
        <f t="shared" si="23"/>
        <v>0.10921177587844255</v>
      </c>
      <c r="BF29" s="118">
        <f t="shared" si="23"/>
        <v>0.10921177587844255</v>
      </c>
      <c r="BG29" s="118">
        <f t="shared" si="23"/>
        <v>0.10921177587844255</v>
      </c>
      <c r="BH29" s="118">
        <f t="shared" si="23"/>
        <v>0.10921177587844255</v>
      </c>
      <c r="BI29" s="118">
        <f t="shared" si="23"/>
        <v>0.10921177587844255</v>
      </c>
      <c r="BJ29" s="118">
        <f t="shared" si="23"/>
        <v>0.10921177587844255</v>
      </c>
      <c r="BK29" s="202">
        <v>5.3869999999999996</v>
      </c>
      <c r="BL29" s="202">
        <v>5.3869999999999996</v>
      </c>
      <c r="BM29" s="202">
        <v>5.3869999999999996</v>
      </c>
      <c r="BN29" s="202">
        <v>5.3869999999999996</v>
      </c>
      <c r="BO29" s="202">
        <v>5.3869999999999996</v>
      </c>
      <c r="BP29" s="202">
        <v>2.1349999999999998</v>
      </c>
      <c r="BQ29" s="202">
        <v>2.1349999999999998</v>
      </c>
      <c r="BR29" s="202">
        <v>2.1349999999999998</v>
      </c>
      <c r="BS29" s="202">
        <v>2.1349999999999998</v>
      </c>
      <c r="BT29" s="202">
        <v>2.1349999999999998</v>
      </c>
      <c r="BU29" s="202">
        <v>2.1349999999999998</v>
      </c>
      <c r="BV29" s="202">
        <v>2.1349999999999998</v>
      </c>
      <c r="BW29" s="202">
        <v>0.27600000000000002</v>
      </c>
      <c r="BX29" s="202">
        <v>0.27600000000000002</v>
      </c>
      <c r="BY29" s="202">
        <v>0.27600000000000002</v>
      </c>
      <c r="BZ29" s="202">
        <v>0.27600000000000002</v>
      </c>
      <c r="CA29" s="202">
        <v>0.27600000000000002</v>
      </c>
      <c r="CB29" s="202">
        <v>0.27600000000000002</v>
      </c>
      <c r="CC29" s="202">
        <v>0.27600000000000002</v>
      </c>
      <c r="CD29" s="202">
        <v>0.27600000000000002</v>
      </c>
      <c r="CE29" s="202">
        <v>0.27600000000000002</v>
      </c>
      <c r="CF29" s="202">
        <v>0.27600000000000002</v>
      </c>
      <c r="CG29" s="202">
        <v>0.27600000000000002</v>
      </c>
      <c r="CH29" s="202">
        <v>0.27600000000000002</v>
      </c>
    </row>
    <row r="30" spans="1:86" x14ac:dyDescent="0.25">
      <c r="A30" s="119"/>
      <c r="B30" s="120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  <c r="AI30" s="121"/>
      <c r="AJ30" s="121"/>
      <c r="AK30" s="121"/>
      <c r="AL30" s="121"/>
      <c r="AM30" s="121"/>
      <c r="AN30" s="121"/>
      <c r="AO30" s="121"/>
      <c r="AP30" s="121"/>
      <c r="AQ30" s="121"/>
      <c r="AR30" s="121"/>
      <c r="AS30" s="121"/>
      <c r="AT30" s="121"/>
      <c r="AU30" s="121"/>
      <c r="AV30" s="121"/>
      <c r="AW30" s="121"/>
      <c r="AX30" s="121"/>
      <c r="AY30" s="121"/>
      <c r="AZ30" s="121"/>
      <c r="BA30" s="121"/>
      <c r="BB30" s="121"/>
      <c r="BC30" s="121"/>
      <c r="BD30" s="121"/>
      <c r="BE30" s="121"/>
      <c r="BF30" s="121"/>
      <c r="BG30" s="121"/>
      <c r="BH30" s="121"/>
      <c r="BI30" s="121"/>
      <c r="BJ30" s="121"/>
      <c r="BK30" s="122"/>
      <c r="BL30" s="122"/>
      <c r="BM30" s="122"/>
      <c r="BN30" s="122"/>
      <c r="BO30" s="122"/>
      <c r="BP30" s="122"/>
      <c r="BQ30" s="122"/>
      <c r="BR30" s="122"/>
      <c r="BS30" s="122"/>
      <c r="BT30" s="122"/>
      <c r="BU30" s="122"/>
      <c r="BV30" s="122"/>
      <c r="BW30" s="122"/>
      <c r="BX30" s="122"/>
      <c r="BY30" s="122"/>
      <c r="BZ30" s="122"/>
      <c r="CA30" s="122"/>
      <c r="CB30" s="122"/>
      <c r="CC30" s="122"/>
      <c r="CD30" s="122"/>
      <c r="CE30" s="122"/>
      <c r="CF30" s="122"/>
      <c r="CG30" s="122"/>
      <c r="CH30" s="122"/>
    </row>
    <row r="31" spans="1:86" ht="18.75" x14ac:dyDescent="0.3">
      <c r="B31" s="208"/>
      <c r="C31" s="209"/>
    </row>
    <row r="32" spans="1:86" s="1" customFormat="1" ht="15.75" x14ac:dyDescent="0.25">
      <c r="A32" s="237"/>
      <c r="B32" s="237"/>
      <c r="C32" s="267"/>
      <c r="D32" s="267"/>
      <c r="E32" s="267"/>
      <c r="F32" s="267"/>
      <c r="G32" s="282"/>
      <c r="H32" s="282"/>
      <c r="I32" s="282"/>
      <c r="J32" s="282"/>
      <c r="K32" s="282"/>
      <c r="L32" s="282"/>
      <c r="M32" s="282"/>
    </row>
    <row r="33" s="1" customFormat="1" ht="15.75" customHeight="1" x14ac:dyDescent="0.25"/>
  </sheetData>
  <mergeCells count="32">
    <mergeCell ref="A32:M32"/>
    <mergeCell ref="BW12:BW13"/>
    <mergeCell ref="BX12:CH12"/>
    <mergeCell ref="AM12:AM13"/>
    <mergeCell ref="AN12:AX12"/>
    <mergeCell ref="AY12:AY13"/>
    <mergeCell ref="AZ12:BJ12"/>
    <mergeCell ref="BK12:BK13"/>
    <mergeCell ref="BL12:BV12"/>
    <mergeCell ref="A8:A13"/>
    <mergeCell ref="B8:B13"/>
    <mergeCell ref="C8:Z8"/>
    <mergeCell ref="AA8:AL8"/>
    <mergeCell ref="AM8:CH8"/>
    <mergeCell ref="D12:N12"/>
    <mergeCell ref="BK9:BV11"/>
    <mergeCell ref="A4:AY4"/>
    <mergeCell ref="A5:AY5"/>
    <mergeCell ref="A6:AY6"/>
    <mergeCell ref="O12:O13"/>
    <mergeCell ref="P12:Z12"/>
    <mergeCell ref="AA12:AA13"/>
    <mergeCell ref="AB12:AL12"/>
    <mergeCell ref="AM9:AX11"/>
    <mergeCell ref="C12:C13"/>
    <mergeCell ref="AY9:BJ11"/>
    <mergeCell ref="A7:AL7"/>
    <mergeCell ref="AM7:CH7"/>
    <mergeCell ref="C9:N11"/>
    <mergeCell ref="O9:Z11"/>
    <mergeCell ref="AA9:AL11"/>
    <mergeCell ref="BW9:CH11"/>
  </mergeCells>
  <printOptions horizontalCentered="1"/>
  <pageMargins left="0.11811023622047245" right="0.11811023622047245" top="0.15748031496062992" bottom="0.15748031496062992" header="0" footer="0"/>
  <pageSetup paperSize="9" scale="55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38"/>
  <sheetViews>
    <sheetView view="pageBreakPreview" zoomScale="50" zoomScaleNormal="100" zoomScaleSheetLayoutView="50" workbookViewId="0">
      <selection activeCell="X2" sqref="X2"/>
    </sheetView>
  </sheetViews>
  <sheetFormatPr defaultColWidth="9.140625" defaultRowHeight="20.25" x14ac:dyDescent="0.3"/>
  <cols>
    <col min="1" max="1" width="9" style="173" customWidth="1"/>
    <col min="2" max="2" width="64.42578125" style="174" customWidth="1"/>
    <col min="3" max="3" width="17.28515625" style="174" customWidth="1"/>
    <col min="4" max="4" width="17.5703125" style="174" customWidth="1"/>
    <col min="5" max="5" width="17.28515625" style="174" customWidth="1"/>
    <col min="6" max="6" width="21.140625" style="174" customWidth="1"/>
    <col min="7" max="7" width="16.5703125" style="174" customWidth="1"/>
    <col min="8" max="8" width="16.140625" style="174" customWidth="1"/>
    <col min="9" max="10" width="16.28515625" style="174" customWidth="1"/>
    <col min="11" max="11" width="16.5703125" style="174" customWidth="1"/>
    <col min="12" max="12" width="16.28515625" style="174" customWidth="1"/>
    <col min="13" max="13" width="15.85546875" style="174" customWidth="1"/>
    <col min="14" max="14" width="16.85546875" style="174" customWidth="1"/>
    <col min="15" max="15" width="16.5703125" style="174" customWidth="1"/>
    <col min="16" max="16" width="15.85546875" style="174" customWidth="1"/>
    <col min="17" max="17" width="17.7109375" style="174" customWidth="1"/>
    <col min="18" max="18" width="16.28515625" style="174" customWidth="1"/>
    <col min="19" max="20" width="16.5703125" style="174" customWidth="1"/>
    <col min="21" max="21" width="15.85546875" style="174" customWidth="1"/>
    <col min="22" max="22" width="16.85546875" style="174" customWidth="1"/>
    <col min="23" max="23" width="16.140625" style="174" customWidth="1"/>
    <col min="24" max="24" width="15.85546875" style="133" customWidth="1"/>
    <col min="25" max="25" width="17.5703125" style="133" bestFit="1" customWidth="1"/>
    <col min="26" max="26" width="9.140625" style="133"/>
    <col min="27" max="16384" width="9.140625" style="174"/>
  </cols>
  <sheetData>
    <row r="1" spans="1:26" ht="20.25" customHeight="1" x14ac:dyDescent="0.3">
      <c r="I1" s="175"/>
      <c r="J1" s="175"/>
      <c r="K1" s="175"/>
      <c r="L1" s="175"/>
      <c r="M1" s="175"/>
      <c r="N1" s="175"/>
      <c r="O1" s="175"/>
      <c r="P1" s="169" t="s">
        <v>403</v>
      </c>
      <c r="Q1" s="175"/>
      <c r="R1" s="175"/>
      <c r="S1" s="175"/>
      <c r="T1" s="175"/>
      <c r="U1" s="175"/>
      <c r="V1" s="175"/>
      <c r="W1" s="176"/>
      <c r="X1" s="169" t="str">
        <f>P1</f>
        <v xml:space="preserve">Приложение 1/4 к протоколу заседания Правления Департамента энергетики </v>
      </c>
    </row>
    <row r="2" spans="1:26" ht="20.25" customHeight="1" x14ac:dyDescent="0.3">
      <c r="I2" s="175"/>
      <c r="J2" s="175"/>
      <c r="K2" s="175"/>
      <c r="L2" s="175"/>
      <c r="M2" s="175"/>
      <c r="N2" s="175"/>
      <c r="O2" s="175"/>
      <c r="P2" s="169" t="str">
        <f>'№ 4 ИП ТС'!CH2</f>
        <v>и тарифов Ивановской области от 13.12.2024 № 50/9</v>
      </c>
      <c r="Q2" s="175"/>
      <c r="R2" s="175"/>
      <c r="S2" s="175"/>
      <c r="T2" s="175"/>
      <c r="U2" s="175"/>
      <c r="V2" s="175"/>
      <c r="W2" s="176"/>
      <c r="X2" s="169" t="str">
        <f>'№ 4 ИП ТС'!CH2</f>
        <v>и тарифов Ивановской области от 13.12.2024 № 50/9</v>
      </c>
    </row>
    <row r="3" spans="1:26" ht="20.25" customHeight="1" x14ac:dyDescent="0.3">
      <c r="I3" s="175"/>
      <c r="J3" s="175"/>
      <c r="K3" s="175"/>
      <c r="L3" s="175"/>
      <c r="M3" s="175"/>
      <c r="N3" s="175"/>
      <c r="O3" s="175"/>
      <c r="P3" s="170" t="s">
        <v>278</v>
      </c>
      <c r="Q3" s="175"/>
      <c r="R3" s="175"/>
      <c r="S3" s="175"/>
      <c r="T3" s="175"/>
      <c r="U3" s="175"/>
      <c r="V3" s="175"/>
      <c r="W3" s="176"/>
      <c r="X3" s="170" t="s">
        <v>278</v>
      </c>
    </row>
    <row r="4" spans="1:26" s="178" customFormat="1" ht="22.5" x14ac:dyDescent="0.25">
      <c r="A4" s="296" t="s">
        <v>279</v>
      </c>
      <c r="B4" s="296"/>
      <c r="C4" s="296"/>
      <c r="D4" s="296"/>
      <c r="E4" s="296"/>
      <c r="F4" s="296"/>
      <c r="G4" s="296"/>
      <c r="H4" s="296"/>
      <c r="I4" s="296"/>
      <c r="J4" s="296"/>
      <c r="K4" s="296"/>
      <c r="L4" s="296"/>
      <c r="M4" s="296"/>
      <c r="N4" s="296"/>
      <c r="O4" s="296"/>
      <c r="P4" s="296"/>
      <c r="Q4" s="220"/>
      <c r="R4" s="220"/>
      <c r="S4" s="220"/>
      <c r="T4" s="220"/>
      <c r="U4" s="220"/>
      <c r="V4" s="220"/>
      <c r="W4" s="220"/>
      <c r="X4" s="220"/>
      <c r="Y4" s="177"/>
      <c r="Z4" s="177"/>
    </row>
    <row r="5" spans="1:26" s="178" customFormat="1" ht="22.5" x14ac:dyDescent="0.25">
      <c r="A5" s="296" t="s">
        <v>299</v>
      </c>
      <c r="B5" s="296"/>
      <c r="C5" s="296"/>
      <c r="D5" s="296"/>
      <c r="E5" s="296"/>
      <c r="F5" s="296"/>
      <c r="G5" s="296"/>
      <c r="H5" s="296"/>
      <c r="I5" s="296"/>
      <c r="J5" s="296"/>
      <c r="K5" s="296"/>
      <c r="L5" s="296"/>
      <c r="M5" s="296"/>
      <c r="N5" s="296"/>
      <c r="O5" s="296"/>
      <c r="P5" s="296"/>
      <c r="Q5" s="221"/>
      <c r="R5" s="221"/>
      <c r="S5" s="221"/>
      <c r="T5" s="221"/>
      <c r="U5" s="221"/>
      <c r="V5" s="221"/>
      <c r="W5" s="221"/>
      <c r="X5" s="221"/>
      <c r="Y5" s="177"/>
      <c r="Z5" s="177"/>
    </row>
    <row r="6" spans="1:26" s="178" customFormat="1" ht="22.5" x14ac:dyDescent="0.25">
      <c r="A6" s="296" t="s">
        <v>300</v>
      </c>
      <c r="B6" s="296"/>
      <c r="C6" s="296"/>
      <c r="D6" s="296"/>
      <c r="E6" s="296"/>
      <c r="F6" s="296"/>
      <c r="G6" s="296"/>
      <c r="H6" s="296"/>
      <c r="I6" s="296"/>
      <c r="J6" s="296"/>
      <c r="K6" s="296"/>
      <c r="L6" s="296"/>
      <c r="M6" s="296"/>
      <c r="N6" s="296"/>
      <c r="O6" s="296"/>
      <c r="P6" s="296"/>
      <c r="Q6" s="221"/>
      <c r="R6" s="221"/>
      <c r="S6" s="221"/>
      <c r="T6" s="221"/>
      <c r="U6" s="221"/>
      <c r="V6" s="221"/>
      <c r="W6" s="221"/>
      <c r="X6" s="221"/>
      <c r="Y6" s="177"/>
      <c r="Z6" s="177"/>
    </row>
    <row r="7" spans="1:26" s="178" customFormat="1" x14ac:dyDescent="0.25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80"/>
      <c r="Y7" s="177"/>
      <c r="Z7" s="177"/>
    </row>
    <row r="8" spans="1:26" ht="33.75" customHeight="1" x14ac:dyDescent="0.3">
      <c r="A8" s="294" t="s">
        <v>50</v>
      </c>
      <c r="B8" s="294" t="s">
        <v>233</v>
      </c>
      <c r="C8" s="287" t="s">
        <v>315</v>
      </c>
      <c r="D8" s="288"/>
      <c r="E8" s="288"/>
      <c r="F8" s="288"/>
      <c r="G8" s="288"/>
      <c r="H8" s="288"/>
      <c r="I8" s="288"/>
      <c r="J8" s="288"/>
      <c r="K8" s="288"/>
      <c r="L8" s="288"/>
      <c r="M8" s="288"/>
      <c r="N8" s="288"/>
      <c r="O8" s="288"/>
      <c r="P8" s="288"/>
      <c r="Q8" s="288"/>
      <c r="R8" s="288"/>
      <c r="S8" s="288"/>
      <c r="T8" s="288"/>
      <c r="U8" s="288"/>
      <c r="V8" s="288"/>
      <c r="W8" s="288"/>
      <c r="X8" s="289" t="s">
        <v>280</v>
      </c>
    </row>
    <row r="9" spans="1:26" ht="39" customHeight="1" x14ac:dyDescent="0.3">
      <c r="A9" s="294"/>
      <c r="B9" s="294"/>
      <c r="C9" s="289" t="s">
        <v>234</v>
      </c>
      <c r="D9" s="292" t="s">
        <v>281</v>
      </c>
      <c r="E9" s="293"/>
      <c r="F9" s="289" t="s">
        <v>234</v>
      </c>
      <c r="G9" s="289">
        <v>2024</v>
      </c>
      <c r="H9" s="289">
        <f>G9+1</f>
        <v>2025</v>
      </c>
      <c r="I9" s="289">
        <f>H9+1</f>
        <v>2026</v>
      </c>
      <c r="J9" s="289">
        <f t="shared" ref="J9:L9" si="0">I9+1</f>
        <v>2027</v>
      </c>
      <c r="K9" s="289">
        <f t="shared" si="0"/>
        <v>2028</v>
      </c>
      <c r="L9" s="289">
        <f t="shared" si="0"/>
        <v>2029</v>
      </c>
      <c r="M9" s="289">
        <f>L9+1</f>
        <v>2030</v>
      </c>
      <c r="N9" s="289">
        <f>M9+1</f>
        <v>2031</v>
      </c>
      <c r="O9" s="289">
        <f t="shared" ref="O9" si="1">N9+1</f>
        <v>2032</v>
      </c>
      <c r="P9" s="289">
        <f>O9+1</f>
        <v>2033</v>
      </c>
      <c r="Q9" s="289">
        <f>P9+1</f>
        <v>2034</v>
      </c>
      <c r="R9" s="289">
        <f t="shared" ref="R9:S9" si="2">Q9+1</f>
        <v>2035</v>
      </c>
      <c r="S9" s="289">
        <f t="shared" si="2"/>
        <v>2036</v>
      </c>
      <c r="T9" s="289">
        <f>S9+1</f>
        <v>2037</v>
      </c>
      <c r="U9" s="289">
        <f>T9+1</f>
        <v>2038</v>
      </c>
      <c r="V9" s="289">
        <f t="shared" ref="V9:W9" si="3">U9+1</f>
        <v>2039</v>
      </c>
      <c r="W9" s="289">
        <f t="shared" si="3"/>
        <v>2040</v>
      </c>
      <c r="X9" s="290"/>
    </row>
    <row r="10" spans="1:26" ht="60.75" x14ac:dyDescent="0.3">
      <c r="A10" s="294"/>
      <c r="B10" s="294"/>
      <c r="C10" s="291"/>
      <c r="D10" s="181" t="s">
        <v>213</v>
      </c>
      <c r="E10" s="182" t="s">
        <v>282</v>
      </c>
      <c r="F10" s="291"/>
      <c r="G10" s="291"/>
      <c r="H10" s="291"/>
      <c r="I10" s="291"/>
      <c r="J10" s="291"/>
      <c r="K10" s="291"/>
      <c r="L10" s="291"/>
      <c r="M10" s="291"/>
      <c r="N10" s="291"/>
      <c r="O10" s="291"/>
      <c r="P10" s="291"/>
      <c r="Q10" s="291"/>
      <c r="R10" s="291"/>
      <c r="S10" s="291"/>
      <c r="T10" s="291"/>
      <c r="U10" s="291"/>
      <c r="V10" s="291"/>
      <c r="W10" s="291"/>
      <c r="X10" s="291"/>
    </row>
    <row r="11" spans="1:26" ht="15" customHeight="1" x14ac:dyDescent="0.3">
      <c r="A11" s="181">
        <f>COLUMN()</f>
        <v>1</v>
      </c>
      <c r="B11" s="181">
        <f>COLUMN()</f>
        <v>2</v>
      </c>
      <c r="C11" s="181">
        <f>COLUMN()</f>
        <v>3</v>
      </c>
      <c r="D11" s="181" t="s">
        <v>216</v>
      </c>
      <c r="E11" s="181" t="s">
        <v>217</v>
      </c>
      <c r="F11" s="181">
        <v>4</v>
      </c>
      <c r="G11" s="181">
        <v>5</v>
      </c>
      <c r="H11" s="181">
        <v>6</v>
      </c>
      <c r="I11" s="181">
        <f t="shared" ref="I11" si="4">H11+1</f>
        <v>7</v>
      </c>
      <c r="J11" s="181">
        <f t="shared" ref="J11" si="5">I11+1</f>
        <v>8</v>
      </c>
      <c r="K11" s="181">
        <f t="shared" ref="K11" si="6">J11+1</f>
        <v>9</v>
      </c>
      <c r="L11" s="181">
        <f t="shared" ref="L11" si="7">K11+1</f>
        <v>10</v>
      </c>
      <c r="M11" s="181">
        <f t="shared" ref="M11" si="8">L11+1</f>
        <v>11</v>
      </c>
      <c r="N11" s="181">
        <f t="shared" ref="N11" si="9">M11+1</f>
        <v>12</v>
      </c>
      <c r="O11" s="181">
        <f t="shared" ref="O11" si="10">N11+1</f>
        <v>13</v>
      </c>
      <c r="P11" s="181">
        <f t="shared" ref="P11" si="11">O11+1</f>
        <v>14</v>
      </c>
      <c r="Q11" s="181">
        <f t="shared" ref="Q11" si="12">P11+1</f>
        <v>15</v>
      </c>
      <c r="R11" s="181">
        <f t="shared" ref="R11" si="13">Q11+1</f>
        <v>16</v>
      </c>
      <c r="S11" s="181">
        <f t="shared" ref="S11" si="14">R11+1</f>
        <v>17</v>
      </c>
      <c r="T11" s="181">
        <f t="shared" ref="T11" si="15">S11+1</f>
        <v>18</v>
      </c>
      <c r="U11" s="181">
        <f t="shared" ref="U11" si="16">T11+1</f>
        <v>19</v>
      </c>
      <c r="V11" s="181">
        <f t="shared" ref="V11" si="17">U11+1</f>
        <v>20</v>
      </c>
      <c r="W11" s="181">
        <f t="shared" ref="W11" si="18">V11+1</f>
        <v>21</v>
      </c>
      <c r="X11" s="181">
        <f t="shared" ref="X11" si="19">W11+1</f>
        <v>22</v>
      </c>
    </row>
    <row r="12" spans="1:26" ht="15" customHeight="1" x14ac:dyDescent="0.3">
      <c r="A12" s="287" t="str">
        <f>B8</f>
        <v>Источники финансирования</v>
      </c>
      <c r="B12" s="288"/>
      <c r="C12" s="288"/>
      <c r="D12" s="288"/>
      <c r="E12" s="288"/>
      <c r="F12" s="288"/>
      <c r="G12" s="288"/>
      <c r="H12" s="288"/>
      <c r="I12" s="288"/>
      <c r="J12" s="288"/>
      <c r="K12" s="288"/>
      <c r="L12" s="288"/>
      <c r="M12" s="288"/>
      <c r="N12" s="288"/>
      <c r="O12" s="288"/>
      <c r="P12" s="288"/>
      <c r="Q12" s="288"/>
      <c r="R12" s="288"/>
      <c r="S12" s="288"/>
      <c r="T12" s="288"/>
      <c r="U12" s="288"/>
      <c r="V12" s="288"/>
      <c r="W12" s="288"/>
      <c r="X12" s="295"/>
    </row>
    <row r="13" spans="1:26" s="188" customFormat="1" x14ac:dyDescent="0.3">
      <c r="A13" s="183" t="s">
        <v>27</v>
      </c>
      <c r="B13" s="184" t="s">
        <v>235</v>
      </c>
      <c r="C13" s="185">
        <f>E13</f>
        <v>0</v>
      </c>
      <c r="D13" s="185">
        <f>D14+D15+D16+D19+D20</f>
        <v>0</v>
      </c>
      <c r="E13" s="185">
        <f>E14+E15+E16+E19+E20</f>
        <v>0</v>
      </c>
      <c r="F13" s="185">
        <f>F14+F15+F16+F19+F20</f>
        <v>0</v>
      </c>
      <c r="G13" s="185">
        <f t="shared" ref="G13:W13" si="20">G14+G15+G16+G19+G20</f>
        <v>0</v>
      </c>
      <c r="H13" s="185">
        <f t="shared" si="20"/>
        <v>0</v>
      </c>
      <c r="I13" s="185">
        <f t="shared" si="20"/>
        <v>0</v>
      </c>
      <c r="J13" s="185">
        <f t="shared" si="20"/>
        <v>0</v>
      </c>
      <c r="K13" s="185">
        <f t="shared" si="20"/>
        <v>0</v>
      </c>
      <c r="L13" s="185">
        <f t="shared" si="20"/>
        <v>0</v>
      </c>
      <c r="M13" s="185">
        <f t="shared" si="20"/>
        <v>0</v>
      </c>
      <c r="N13" s="185">
        <f t="shared" si="20"/>
        <v>0</v>
      </c>
      <c r="O13" s="185">
        <f t="shared" si="20"/>
        <v>0</v>
      </c>
      <c r="P13" s="185">
        <f t="shared" si="20"/>
        <v>0</v>
      </c>
      <c r="Q13" s="185">
        <f t="shared" si="20"/>
        <v>0</v>
      </c>
      <c r="R13" s="185">
        <f t="shared" si="20"/>
        <v>0</v>
      </c>
      <c r="S13" s="185">
        <f t="shared" si="20"/>
        <v>0</v>
      </c>
      <c r="T13" s="185">
        <f t="shared" si="20"/>
        <v>0</v>
      </c>
      <c r="U13" s="185">
        <f t="shared" si="20"/>
        <v>0</v>
      </c>
      <c r="V13" s="185">
        <f t="shared" si="20"/>
        <v>0</v>
      </c>
      <c r="W13" s="185">
        <f t="shared" si="20"/>
        <v>0</v>
      </c>
      <c r="X13" s="186"/>
      <c r="Y13" s="187"/>
      <c r="Z13" s="187"/>
    </row>
    <row r="14" spans="1:26" ht="60.75" x14ac:dyDescent="0.3">
      <c r="A14" s="181" t="s">
        <v>283</v>
      </c>
      <c r="B14" s="189" t="s">
        <v>236</v>
      </c>
      <c r="C14" s="190">
        <f t="shared" ref="C14:C20" si="21">E14</f>
        <v>0</v>
      </c>
      <c r="D14" s="190">
        <v>0</v>
      </c>
      <c r="E14" s="190">
        <f>SUM(G14:S14)</f>
        <v>0</v>
      </c>
      <c r="F14" s="190">
        <f t="shared" ref="F14:F21" si="22">SUM(G14:W14)</f>
        <v>0</v>
      </c>
      <c r="G14" s="190">
        <v>0</v>
      </c>
      <c r="H14" s="190">
        <v>0</v>
      </c>
      <c r="I14" s="190">
        <v>0</v>
      </c>
      <c r="J14" s="190">
        <v>0</v>
      </c>
      <c r="K14" s="190">
        <v>0</v>
      </c>
      <c r="L14" s="190">
        <v>0</v>
      </c>
      <c r="M14" s="190">
        <v>0</v>
      </c>
      <c r="N14" s="190">
        <v>0</v>
      </c>
      <c r="O14" s="190">
        <v>0</v>
      </c>
      <c r="P14" s="190">
        <v>0</v>
      </c>
      <c r="Q14" s="190">
        <v>0</v>
      </c>
      <c r="R14" s="190">
        <v>0</v>
      </c>
      <c r="S14" s="190">
        <v>0</v>
      </c>
      <c r="T14" s="190">
        <v>0</v>
      </c>
      <c r="U14" s="190">
        <v>0</v>
      </c>
      <c r="V14" s="190">
        <v>0</v>
      </c>
      <c r="W14" s="190">
        <v>0</v>
      </c>
      <c r="X14" s="186"/>
    </row>
    <row r="15" spans="1:26" ht="81" x14ac:dyDescent="0.3">
      <c r="A15" s="181" t="s">
        <v>284</v>
      </c>
      <c r="B15" s="189" t="s">
        <v>237</v>
      </c>
      <c r="C15" s="190">
        <f t="shared" si="21"/>
        <v>0</v>
      </c>
      <c r="D15" s="190">
        <v>0</v>
      </c>
      <c r="E15" s="190">
        <f>SUM(G15:S15)</f>
        <v>0</v>
      </c>
      <c r="F15" s="190">
        <f t="shared" si="22"/>
        <v>0</v>
      </c>
      <c r="G15" s="190">
        <v>0</v>
      </c>
      <c r="H15" s="190">
        <v>0</v>
      </c>
      <c r="I15" s="190">
        <v>0</v>
      </c>
      <c r="J15" s="190">
        <v>0</v>
      </c>
      <c r="K15" s="190">
        <v>0</v>
      </c>
      <c r="L15" s="190">
        <v>0</v>
      </c>
      <c r="M15" s="190">
        <v>0</v>
      </c>
      <c r="N15" s="190">
        <v>0</v>
      </c>
      <c r="O15" s="190">
        <v>0</v>
      </c>
      <c r="P15" s="190">
        <v>0</v>
      </c>
      <c r="Q15" s="190">
        <v>0</v>
      </c>
      <c r="R15" s="190">
        <v>0</v>
      </c>
      <c r="S15" s="190">
        <v>0</v>
      </c>
      <c r="T15" s="190">
        <v>0</v>
      </c>
      <c r="U15" s="190">
        <v>0</v>
      </c>
      <c r="V15" s="190">
        <v>0</v>
      </c>
      <c r="W15" s="190">
        <v>0</v>
      </c>
      <c r="X15" s="186"/>
    </row>
    <row r="16" spans="1:26" x14ac:dyDescent="0.3">
      <c r="A16" s="181" t="s">
        <v>285</v>
      </c>
      <c r="B16" s="189" t="s">
        <v>286</v>
      </c>
      <c r="C16" s="190">
        <v>0</v>
      </c>
      <c r="D16" s="190">
        <v>0</v>
      </c>
      <c r="E16" s="190">
        <v>0</v>
      </c>
      <c r="F16" s="190">
        <f t="shared" si="22"/>
        <v>0</v>
      </c>
      <c r="G16" s="190">
        <v>0</v>
      </c>
      <c r="H16" s="190">
        <v>0</v>
      </c>
      <c r="I16" s="190">
        <v>0</v>
      </c>
      <c r="J16" s="190">
        <v>0</v>
      </c>
      <c r="K16" s="190">
        <v>0</v>
      </c>
      <c r="L16" s="190">
        <v>0</v>
      </c>
      <c r="M16" s="190">
        <v>0</v>
      </c>
      <c r="N16" s="190">
        <v>0</v>
      </c>
      <c r="O16" s="190">
        <v>0</v>
      </c>
      <c r="P16" s="190">
        <v>0</v>
      </c>
      <c r="Q16" s="190">
        <v>0</v>
      </c>
      <c r="R16" s="190">
        <v>0</v>
      </c>
      <c r="S16" s="190">
        <v>0</v>
      </c>
      <c r="T16" s="190">
        <v>0</v>
      </c>
      <c r="U16" s="190">
        <v>0</v>
      </c>
      <c r="V16" s="190">
        <v>0</v>
      </c>
      <c r="W16" s="190">
        <v>0</v>
      </c>
      <c r="X16" s="186"/>
    </row>
    <row r="17" spans="1:26" ht="40.5" x14ac:dyDescent="0.3">
      <c r="A17" s="181" t="s">
        <v>287</v>
      </c>
      <c r="B17" s="189" t="s">
        <v>238</v>
      </c>
      <c r="C17" s="190">
        <v>0</v>
      </c>
      <c r="D17" s="190">
        <v>0</v>
      </c>
      <c r="E17" s="190">
        <f>SUM(G17:S17)</f>
        <v>0</v>
      </c>
      <c r="F17" s="190">
        <f t="shared" si="22"/>
        <v>0</v>
      </c>
      <c r="G17" s="190">
        <v>0</v>
      </c>
      <c r="H17" s="190">
        <v>0</v>
      </c>
      <c r="I17" s="190">
        <v>0</v>
      </c>
      <c r="J17" s="190">
        <v>0</v>
      </c>
      <c r="K17" s="190">
        <v>0</v>
      </c>
      <c r="L17" s="190">
        <v>0</v>
      </c>
      <c r="M17" s="190">
        <v>0</v>
      </c>
      <c r="N17" s="190">
        <v>0</v>
      </c>
      <c r="O17" s="190">
        <v>0</v>
      </c>
      <c r="P17" s="190">
        <v>0</v>
      </c>
      <c r="Q17" s="190">
        <v>0</v>
      </c>
      <c r="R17" s="190">
        <v>0</v>
      </c>
      <c r="S17" s="190">
        <v>0</v>
      </c>
      <c r="T17" s="190">
        <v>0</v>
      </c>
      <c r="U17" s="190">
        <v>0</v>
      </c>
      <c r="V17" s="190">
        <v>0</v>
      </c>
      <c r="W17" s="190">
        <v>0</v>
      </c>
      <c r="X17" s="186"/>
    </row>
    <row r="18" spans="1:26" s="188" customFormat="1" ht="141.75" x14ac:dyDescent="0.3">
      <c r="A18" s="181" t="s">
        <v>288</v>
      </c>
      <c r="B18" s="189" t="s">
        <v>289</v>
      </c>
      <c r="C18" s="190">
        <v>0</v>
      </c>
      <c r="D18" s="190">
        <v>0</v>
      </c>
      <c r="E18" s="190">
        <f>SUM(G18:S18)</f>
        <v>0</v>
      </c>
      <c r="F18" s="190">
        <f t="shared" si="22"/>
        <v>0</v>
      </c>
      <c r="G18" s="190">
        <v>0</v>
      </c>
      <c r="H18" s="190">
        <v>0</v>
      </c>
      <c r="I18" s="190">
        <v>0</v>
      </c>
      <c r="J18" s="190">
        <v>0</v>
      </c>
      <c r="K18" s="190">
        <v>0</v>
      </c>
      <c r="L18" s="190">
        <v>0</v>
      </c>
      <c r="M18" s="190">
        <v>0</v>
      </c>
      <c r="N18" s="190">
        <v>0</v>
      </c>
      <c r="O18" s="190">
        <v>0</v>
      </c>
      <c r="P18" s="190">
        <v>0</v>
      </c>
      <c r="Q18" s="190">
        <v>0</v>
      </c>
      <c r="R18" s="190">
        <v>0</v>
      </c>
      <c r="S18" s="190">
        <v>0</v>
      </c>
      <c r="T18" s="190">
        <v>0</v>
      </c>
      <c r="U18" s="190">
        <v>0</v>
      </c>
      <c r="V18" s="190">
        <v>0</v>
      </c>
      <c r="W18" s="190">
        <v>0</v>
      </c>
      <c r="X18" s="186"/>
      <c r="Y18" s="187"/>
      <c r="Z18" s="187"/>
    </row>
    <row r="19" spans="1:26" ht="101.25" x14ac:dyDescent="0.3">
      <c r="A19" s="181" t="s">
        <v>290</v>
      </c>
      <c r="B19" s="189" t="s">
        <v>239</v>
      </c>
      <c r="C19" s="190">
        <f t="shared" si="21"/>
        <v>0</v>
      </c>
      <c r="D19" s="190">
        <v>0</v>
      </c>
      <c r="E19" s="190">
        <f>SUM(G19:S19)</f>
        <v>0</v>
      </c>
      <c r="F19" s="190">
        <f t="shared" si="22"/>
        <v>0</v>
      </c>
      <c r="G19" s="190">
        <v>0</v>
      </c>
      <c r="H19" s="190">
        <v>0</v>
      </c>
      <c r="I19" s="190">
        <v>0</v>
      </c>
      <c r="J19" s="190">
        <v>0</v>
      </c>
      <c r="K19" s="190">
        <v>0</v>
      </c>
      <c r="L19" s="190">
        <v>0</v>
      </c>
      <c r="M19" s="190">
        <v>0</v>
      </c>
      <c r="N19" s="190">
        <v>0</v>
      </c>
      <c r="O19" s="190">
        <v>0</v>
      </c>
      <c r="P19" s="190">
        <v>0</v>
      </c>
      <c r="Q19" s="190">
        <v>0</v>
      </c>
      <c r="R19" s="190">
        <v>0</v>
      </c>
      <c r="S19" s="190">
        <v>0</v>
      </c>
      <c r="T19" s="190">
        <v>0</v>
      </c>
      <c r="U19" s="190">
        <v>0</v>
      </c>
      <c r="V19" s="190">
        <v>0</v>
      </c>
      <c r="W19" s="190">
        <v>0</v>
      </c>
      <c r="X19" s="186"/>
    </row>
    <row r="20" spans="1:26" ht="40.5" x14ac:dyDescent="0.3">
      <c r="A20" s="181" t="s">
        <v>291</v>
      </c>
      <c r="B20" s="189" t="s">
        <v>240</v>
      </c>
      <c r="C20" s="190">
        <f t="shared" si="21"/>
        <v>0</v>
      </c>
      <c r="D20" s="190">
        <v>0</v>
      </c>
      <c r="E20" s="190">
        <f>SUM(G20:S20)</f>
        <v>0</v>
      </c>
      <c r="F20" s="190">
        <f t="shared" si="22"/>
        <v>0</v>
      </c>
      <c r="G20" s="190">
        <v>0</v>
      </c>
      <c r="H20" s="190">
        <v>0</v>
      </c>
      <c r="I20" s="190">
        <v>0</v>
      </c>
      <c r="J20" s="190">
        <v>0</v>
      </c>
      <c r="K20" s="190">
        <v>0</v>
      </c>
      <c r="L20" s="190">
        <v>0</v>
      </c>
      <c r="M20" s="190">
        <v>0</v>
      </c>
      <c r="N20" s="190">
        <v>0</v>
      </c>
      <c r="O20" s="190">
        <v>0</v>
      </c>
      <c r="P20" s="190">
        <v>0</v>
      </c>
      <c r="Q20" s="190">
        <v>0</v>
      </c>
      <c r="R20" s="190">
        <v>0</v>
      </c>
      <c r="S20" s="190">
        <v>0</v>
      </c>
      <c r="T20" s="190">
        <v>0</v>
      </c>
      <c r="U20" s="190">
        <v>0</v>
      </c>
      <c r="V20" s="190">
        <v>0</v>
      </c>
      <c r="W20" s="190">
        <v>0</v>
      </c>
      <c r="X20" s="186"/>
    </row>
    <row r="21" spans="1:26" ht="60.75" x14ac:dyDescent="0.3">
      <c r="A21" s="183" t="s">
        <v>214</v>
      </c>
      <c r="B21" s="191" t="s">
        <v>241</v>
      </c>
      <c r="C21" s="185">
        <f t="shared" ref="C21:C46" si="23">D21+E21</f>
        <v>0</v>
      </c>
      <c r="D21" s="185">
        <v>0</v>
      </c>
      <c r="E21" s="185">
        <f>SUM(G21:S21)</f>
        <v>0</v>
      </c>
      <c r="F21" s="185">
        <f t="shared" si="22"/>
        <v>0</v>
      </c>
      <c r="G21" s="185">
        <v>0</v>
      </c>
      <c r="H21" s="185">
        <v>0</v>
      </c>
      <c r="I21" s="185">
        <v>0</v>
      </c>
      <c r="J21" s="185">
        <v>0</v>
      </c>
      <c r="K21" s="185">
        <v>0</v>
      </c>
      <c r="L21" s="185">
        <v>0</v>
      </c>
      <c r="M21" s="185">
        <v>0</v>
      </c>
      <c r="N21" s="185">
        <v>0</v>
      </c>
      <c r="O21" s="185">
        <v>0</v>
      </c>
      <c r="P21" s="185">
        <v>0</v>
      </c>
      <c r="Q21" s="185">
        <v>0</v>
      </c>
      <c r="R21" s="185">
        <v>0</v>
      </c>
      <c r="S21" s="185">
        <v>0</v>
      </c>
      <c r="T21" s="185">
        <v>0</v>
      </c>
      <c r="U21" s="185">
        <v>0</v>
      </c>
      <c r="V21" s="185">
        <v>0</v>
      </c>
      <c r="W21" s="185">
        <v>0</v>
      </c>
      <c r="X21" s="186"/>
    </row>
    <row r="22" spans="1:26" s="188" customFormat="1" ht="40.5" x14ac:dyDescent="0.3">
      <c r="A22" s="183" t="s">
        <v>215</v>
      </c>
      <c r="B22" s="184" t="s">
        <v>242</v>
      </c>
      <c r="C22" s="185">
        <f t="shared" si="23"/>
        <v>10871.002469999999</v>
      </c>
      <c r="D22" s="185">
        <f>D23+D24+D46</f>
        <v>3109.2460000000001</v>
      </c>
      <c r="E22" s="185">
        <f>E23+E24+E46</f>
        <v>7761.7564700000003</v>
      </c>
      <c r="F22" s="185">
        <f>F23+F24+F46</f>
        <v>10875.002469999999</v>
      </c>
      <c r="G22" s="185">
        <f>G23+G24+G46</f>
        <v>0</v>
      </c>
      <c r="H22" s="185">
        <f t="shared" ref="H22:R22" si="24">H23+H24+H46</f>
        <v>0</v>
      </c>
      <c r="I22" s="185">
        <f t="shared" si="24"/>
        <v>0</v>
      </c>
      <c r="J22" s="185">
        <f t="shared" si="24"/>
        <v>7761.7564699999984</v>
      </c>
      <c r="K22" s="185">
        <f t="shared" si="24"/>
        <v>0</v>
      </c>
      <c r="L22" s="185">
        <f t="shared" si="24"/>
        <v>3109.2460000000001</v>
      </c>
      <c r="M22" s="185">
        <f t="shared" si="24"/>
        <v>0</v>
      </c>
      <c r="N22" s="185">
        <f t="shared" si="24"/>
        <v>0</v>
      </c>
      <c r="O22" s="185">
        <f t="shared" si="24"/>
        <v>0</v>
      </c>
      <c r="P22" s="185">
        <f t="shared" si="24"/>
        <v>0</v>
      </c>
      <c r="Q22" s="185">
        <f t="shared" si="24"/>
        <v>0</v>
      </c>
      <c r="R22" s="185">
        <f t="shared" si="24"/>
        <v>0</v>
      </c>
      <c r="S22" s="185">
        <f>S23+S24+S46</f>
        <v>0</v>
      </c>
      <c r="T22" s="185">
        <f>T23+T24+T46</f>
        <v>0</v>
      </c>
      <c r="U22" s="185">
        <f>U23+U24+U46</f>
        <v>0</v>
      </c>
      <c r="V22" s="185">
        <f>V23+V24+V46</f>
        <v>0</v>
      </c>
      <c r="W22" s="185">
        <f>W23+W24+W46</f>
        <v>0</v>
      </c>
      <c r="X22" s="186"/>
      <c r="Y22" s="187"/>
      <c r="Z22" s="187"/>
    </row>
    <row r="23" spans="1:26" s="188" customFormat="1" ht="27.75" customHeight="1" x14ac:dyDescent="0.3">
      <c r="A23" s="181" t="s">
        <v>216</v>
      </c>
      <c r="B23" s="189" t="s">
        <v>243</v>
      </c>
      <c r="C23" s="190">
        <f t="shared" si="23"/>
        <v>0</v>
      </c>
      <c r="D23" s="190">
        <v>0</v>
      </c>
      <c r="E23" s="190">
        <v>0</v>
      </c>
      <c r="F23" s="190">
        <f t="shared" ref="F23:F48" si="25">SUM(G23:W23)</f>
        <v>0</v>
      </c>
      <c r="G23" s="190">
        <v>0</v>
      </c>
      <c r="H23" s="190">
        <v>0</v>
      </c>
      <c r="I23" s="190">
        <v>0</v>
      </c>
      <c r="J23" s="190"/>
      <c r="K23" s="190"/>
      <c r="L23" s="190"/>
      <c r="M23" s="190"/>
      <c r="N23" s="190"/>
      <c r="O23" s="190"/>
      <c r="P23" s="190">
        <v>0</v>
      </c>
      <c r="Q23" s="190">
        <v>0</v>
      </c>
      <c r="R23" s="190">
        <v>0</v>
      </c>
      <c r="S23" s="190">
        <v>0</v>
      </c>
      <c r="T23" s="190">
        <v>0</v>
      </c>
      <c r="U23" s="190">
        <v>0</v>
      </c>
      <c r="V23" s="190">
        <v>0</v>
      </c>
      <c r="W23" s="190">
        <v>0</v>
      </c>
      <c r="X23" s="186"/>
      <c r="Y23" s="187"/>
      <c r="Z23" s="187"/>
    </row>
    <row r="24" spans="1:26" x14ac:dyDescent="0.3">
      <c r="A24" s="181" t="s">
        <v>217</v>
      </c>
      <c r="B24" s="189" t="s">
        <v>292</v>
      </c>
      <c r="C24" s="190">
        <f t="shared" si="23"/>
        <v>10871.002469999999</v>
      </c>
      <c r="D24" s="139">
        <f>SUM(D25:D45)</f>
        <v>3109.2460000000001</v>
      </c>
      <c r="E24" s="139">
        <f t="shared" ref="E24:F24" si="26">SUM(E25:E45)</f>
        <v>7761.7564700000003</v>
      </c>
      <c r="F24" s="139">
        <f t="shared" si="26"/>
        <v>10875.002469999999</v>
      </c>
      <c r="G24" s="139">
        <f>SUM(G25:G45)-G35-G37</f>
        <v>0</v>
      </c>
      <c r="H24" s="139">
        <f t="shared" ref="H24:X24" si="27">SUM(H25:H45)-H35-H37</f>
        <v>0</v>
      </c>
      <c r="I24" s="139">
        <f t="shared" si="27"/>
        <v>0</v>
      </c>
      <c r="J24" s="139">
        <f t="shared" si="27"/>
        <v>7761.7564699999984</v>
      </c>
      <c r="K24" s="139">
        <f t="shared" si="27"/>
        <v>0</v>
      </c>
      <c r="L24" s="139">
        <f t="shared" si="27"/>
        <v>3109.2460000000001</v>
      </c>
      <c r="M24" s="139">
        <f t="shared" si="27"/>
        <v>0</v>
      </c>
      <c r="N24" s="139">
        <f t="shared" si="27"/>
        <v>0</v>
      </c>
      <c r="O24" s="139">
        <f t="shared" si="27"/>
        <v>0</v>
      </c>
      <c r="P24" s="139">
        <f t="shared" si="27"/>
        <v>0</v>
      </c>
      <c r="Q24" s="139">
        <f t="shared" si="27"/>
        <v>0</v>
      </c>
      <c r="R24" s="139">
        <f t="shared" si="27"/>
        <v>0</v>
      </c>
      <c r="S24" s="139">
        <f t="shared" si="27"/>
        <v>0</v>
      </c>
      <c r="T24" s="139">
        <f t="shared" si="27"/>
        <v>0</v>
      </c>
      <c r="U24" s="139">
        <f t="shared" si="27"/>
        <v>0</v>
      </c>
      <c r="V24" s="139">
        <f t="shared" si="27"/>
        <v>0</v>
      </c>
      <c r="W24" s="139">
        <f t="shared" si="27"/>
        <v>0</v>
      </c>
      <c r="X24" s="139">
        <f t="shared" si="27"/>
        <v>0</v>
      </c>
    </row>
    <row r="25" spans="1:26" ht="101.25" x14ac:dyDescent="0.3">
      <c r="A25" s="181"/>
      <c r="B25" s="189" t="s">
        <v>151</v>
      </c>
      <c r="C25" s="139">
        <f>'№2 ИП ТС'!R35</f>
        <v>102.533</v>
      </c>
      <c r="D25" s="139">
        <v>0</v>
      </c>
      <c r="E25" s="139">
        <f>C25</f>
        <v>102.533</v>
      </c>
      <c r="F25" s="190">
        <f>SUM(G25:W25)</f>
        <v>102.533</v>
      </c>
      <c r="G25" s="139">
        <v>0</v>
      </c>
      <c r="H25" s="139">
        <v>0</v>
      </c>
      <c r="I25" s="139">
        <v>0</v>
      </c>
      <c r="J25" s="139">
        <f>C25</f>
        <v>102.533</v>
      </c>
      <c r="K25" s="139">
        <v>0</v>
      </c>
      <c r="L25" s="139">
        <v>0</v>
      </c>
      <c r="M25" s="139">
        <v>0</v>
      </c>
      <c r="N25" s="139">
        <v>0</v>
      </c>
      <c r="O25" s="139">
        <v>0</v>
      </c>
      <c r="P25" s="139">
        <v>0</v>
      </c>
      <c r="Q25" s="139">
        <v>0</v>
      </c>
      <c r="R25" s="139">
        <v>0</v>
      </c>
      <c r="S25" s="139">
        <v>0</v>
      </c>
      <c r="T25" s="139">
        <v>0</v>
      </c>
      <c r="U25" s="139">
        <v>0</v>
      </c>
      <c r="V25" s="139">
        <v>0</v>
      </c>
      <c r="W25" s="139">
        <v>0</v>
      </c>
      <c r="X25" s="192" t="s">
        <v>128</v>
      </c>
    </row>
    <row r="26" spans="1:26" s="188" customFormat="1" ht="121.5" x14ac:dyDescent="0.3">
      <c r="A26" s="181"/>
      <c r="B26" s="189" t="s">
        <v>152</v>
      </c>
      <c r="C26" s="139">
        <f>'№2 ИП ТС'!R36</f>
        <v>1768.15</v>
      </c>
      <c r="D26" s="139">
        <v>0</v>
      </c>
      <c r="E26" s="139">
        <f t="shared" ref="E26:E44" si="28">C26</f>
        <v>1768.15</v>
      </c>
      <c r="F26" s="190">
        <f t="shared" ref="F26:F45" si="29">SUM(G26:W26)</f>
        <v>1768.15</v>
      </c>
      <c r="G26" s="139">
        <v>0</v>
      </c>
      <c r="H26" s="139">
        <v>0</v>
      </c>
      <c r="I26" s="139">
        <v>0</v>
      </c>
      <c r="J26" s="139">
        <f t="shared" ref="J26:J44" si="30">C26</f>
        <v>1768.15</v>
      </c>
      <c r="K26" s="139">
        <v>0</v>
      </c>
      <c r="L26" s="139">
        <v>0</v>
      </c>
      <c r="M26" s="139">
        <v>0</v>
      </c>
      <c r="N26" s="139">
        <v>0</v>
      </c>
      <c r="O26" s="139">
        <v>0</v>
      </c>
      <c r="P26" s="139">
        <v>0</v>
      </c>
      <c r="Q26" s="139">
        <v>0</v>
      </c>
      <c r="R26" s="139">
        <v>0</v>
      </c>
      <c r="S26" s="139">
        <v>0</v>
      </c>
      <c r="T26" s="139">
        <v>0</v>
      </c>
      <c r="U26" s="139">
        <v>0</v>
      </c>
      <c r="V26" s="139">
        <v>0</v>
      </c>
      <c r="W26" s="139">
        <v>0</v>
      </c>
      <c r="X26" s="192" t="s">
        <v>129</v>
      </c>
      <c r="Y26" s="187"/>
      <c r="Z26" s="187"/>
    </row>
    <row r="27" spans="1:26" s="188" customFormat="1" ht="121.5" x14ac:dyDescent="0.3">
      <c r="A27" s="181"/>
      <c r="B27" s="189" t="s">
        <v>153</v>
      </c>
      <c r="C27" s="139">
        <f>'№2 ИП ТС'!R37</f>
        <v>1367.125</v>
      </c>
      <c r="D27" s="139">
        <v>0</v>
      </c>
      <c r="E27" s="139">
        <f t="shared" si="28"/>
        <v>1367.125</v>
      </c>
      <c r="F27" s="190">
        <f t="shared" si="29"/>
        <v>1367.125</v>
      </c>
      <c r="G27" s="139">
        <v>0</v>
      </c>
      <c r="H27" s="139">
        <v>0</v>
      </c>
      <c r="I27" s="139">
        <v>0</v>
      </c>
      <c r="J27" s="139">
        <f t="shared" si="30"/>
        <v>1367.125</v>
      </c>
      <c r="K27" s="139">
        <v>0</v>
      </c>
      <c r="L27" s="139">
        <v>0</v>
      </c>
      <c r="M27" s="139">
        <v>0</v>
      </c>
      <c r="N27" s="139">
        <v>0</v>
      </c>
      <c r="O27" s="139">
        <v>0</v>
      </c>
      <c r="P27" s="139">
        <v>0</v>
      </c>
      <c r="Q27" s="139">
        <v>0</v>
      </c>
      <c r="R27" s="139">
        <v>0</v>
      </c>
      <c r="S27" s="139">
        <v>0</v>
      </c>
      <c r="T27" s="139">
        <v>0</v>
      </c>
      <c r="U27" s="139">
        <v>0</v>
      </c>
      <c r="V27" s="139">
        <v>0</v>
      </c>
      <c r="W27" s="139">
        <v>0</v>
      </c>
      <c r="X27" s="192" t="s">
        <v>179</v>
      </c>
      <c r="Y27" s="187"/>
      <c r="Z27" s="187"/>
    </row>
    <row r="28" spans="1:26" s="188" customFormat="1" ht="121.5" x14ac:dyDescent="0.3">
      <c r="A28" s="181"/>
      <c r="B28" s="189" t="s">
        <v>154</v>
      </c>
      <c r="C28" s="139">
        <f>'№2 ИП ТС'!R38</f>
        <v>391.90800000000002</v>
      </c>
      <c r="D28" s="139">
        <v>0</v>
      </c>
      <c r="E28" s="139">
        <f t="shared" si="28"/>
        <v>391.90800000000002</v>
      </c>
      <c r="F28" s="190">
        <f t="shared" si="29"/>
        <v>391.90800000000002</v>
      </c>
      <c r="G28" s="139">
        <v>0</v>
      </c>
      <c r="H28" s="139">
        <v>0</v>
      </c>
      <c r="I28" s="139">
        <v>0</v>
      </c>
      <c r="J28" s="139">
        <f t="shared" si="30"/>
        <v>391.90800000000002</v>
      </c>
      <c r="K28" s="139">
        <v>0</v>
      </c>
      <c r="L28" s="139">
        <v>0</v>
      </c>
      <c r="M28" s="139">
        <v>0</v>
      </c>
      <c r="N28" s="139">
        <v>0</v>
      </c>
      <c r="O28" s="139">
        <v>0</v>
      </c>
      <c r="P28" s="139">
        <v>0</v>
      </c>
      <c r="Q28" s="139">
        <v>0</v>
      </c>
      <c r="R28" s="139">
        <v>0</v>
      </c>
      <c r="S28" s="139">
        <v>0</v>
      </c>
      <c r="T28" s="139">
        <v>0</v>
      </c>
      <c r="U28" s="139">
        <v>0</v>
      </c>
      <c r="V28" s="139">
        <v>0</v>
      </c>
      <c r="W28" s="139">
        <v>0</v>
      </c>
      <c r="X28" s="192" t="s">
        <v>180</v>
      </c>
      <c r="Y28" s="187"/>
      <c r="Z28" s="187"/>
    </row>
    <row r="29" spans="1:26" s="188" customFormat="1" ht="121.5" x14ac:dyDescent="0.3">
      <c r="A29" s="181"/>
      <c r="B29" s="189" t="s">
        <v>155</v>
      </c>
      <c r="C29" s="139">
        <f>'№2 ИП ТС'!R39</f>
        <v>706.35</v>
      </c>
      <c r="D29" s="139">
        <v>0</v>
      </c>
      <c r="E29" s="139">
        <f t="shared" si="28"/>
        <v>706.35</v>
      </c>
      <c r="F29" s="190">
        <f t="shared" si="29"/>
        <v>706.35</v>
      </c>
      <c r="G29" s="139">
        <v>0</v>
      </c>
      <c r="H29" s="139">
        <v>0</v>
      </c>
      <c r="I29" s="139">
        <v>0</v>
      </c>
      <c r="J29" s="139">
        <f t="shared" si="30"/>
        <v>706.35</v>
      </c>
      <c r="K29" s="139">
        <v>0</v>
      </c>
      <c r="L29" s="139">
        <v>0</v>
      </c>
      <c r="M29" s="139">
        <v>0</v>
      </c>
      <c r="N29" s="139">
        <v>0</v>
      </c>
      <c r="O29" s="139">
        <v>0</v>
      </c>
      <c r="P29" s="139">
        <v>0</v>
      </c>
      <c r="Q29" s="139">
        <v>0</v>
      </c>
      <c r="R29" s="139">
        <v>0</v>
      </c>
      <c r="S29" s="139">
        <v>0</v>
      </c>
      <c r="T29" s="139">
        <v>0</v>
      </c>
      <c r="U29" s="139">
        <v>0</v>
      </c>
      <c r="V29" s="139">
        <v>0</v>
      </c>
      <c r="W29" s="139">
        <v>0</v>
      </c>
      <c r="X29" s="192" t="s">
        <v>181</v>
      </c>
      <c r="Y29" s="187"/>
      <c r="Z29" s="187"/>
    </row>
    <row r="30" spans="1:26" ht="121.5" x14ac:dyDescent="0.3">
      <c r="A30" s="181"/>
      <c r="B30" s="189" t="s">
        <v>156</v>
      </c>
      <c r="C30" s="139">
        <f>'№2 ИП ТС'!R40</f>
        <v>157.94846999999999</v>
      </c>
      <c r="D30" s="139">
        <v>0</v>
      </c>
      <c r="E30" s="139">
        <f t="shared" si="28"/>
        <v>157.94846999999999</v>
      </c>
      <c r="F30" s="190">
        <f t="shared" si="29"/>
        <v>157.94846999999999</v>
      </c>
      <c r="G30" s="139">
        <v>0</v>
      </c>
      <c r="H30" s="139">
        <v>0</v>
      </c>
      <c r="I30" s="139">
        <v>0</v>
      </c>
      <c r="J30" s="139">
        <f t="shared" si="30"/>
        <v>157.94846999999999</v>
      </c>
      <c r="K30" s="139">
        <v>0</v>
      </c>
      <c r="L30" s="139">
        <v>0</v>
      </c>
      <c r="M30" s="139">
        <v>0</v>
      </c>
      <c r="N30" s="139">
        <v>0</v>
      </c>
      <c r="O30" s="139">
        <v>0</v>
      </c>
      <c r="P30" s="139">
        <v>0</v>
      </c>
      <c r="Q30" s="139">
        <v>0</v>
      </c>
      <c r="R30" s="139">
        <v>0</v>
      </c>
      <c r="S30" s="139">
        <v>0</v>
      </c>
      <c r="T30" s="139">
        <v>0</v>
      </c>
      <c r="U30" s="139">
        <v>0</v>
      </c>
      <c r="V30" s="139">
        <v>0</v>
      </c>
      <c r="W30" s="139">
        <v>0</v>
      </c>
      <c r="X30" s="192" t="s">
        <v>182</v>
      </c>
    </row>
    <row r="31" spans="1:26" ht="20.25" hidden="1" customHeight="1" x14ac:dyDescent="0.3">
      <c r="I31" s="175"/>
      <c r="J31" s="175"/>
      <c r="K31" s="175"/>
      <c r="L31" s="175"/>
      <c r="M31" s="175"/>
      <c r="N31" s="175"/>
      <c r="O31" s="175"/>
      <c r="P31" s="175"/>
      <c r="Q31" s="175"/>
      <c r="R31" s="175"/>
      <c r="S31" s="175"/>
      <c r="T31" s="175"/>
      <c r="U31" s="175"/>
      <c r="V31" s="175"/>
      <c r="W31" s="176"/>
      <c r="X31" s="169" t="s">
        <v>397</v>
      </c>
    </row>
    <row r="32" spans="1:26" ht="20.25" hidden="1" customHeight="1" x14ac:dyDescent="0.3">
      <c r="I32" s="175"/>
      <c r="J32" s="175"/>
      <c r="K32" s="175"/>
      <c r="L32" s="175"/>
      <c r="M32" s="175"/>
      <c r="N32" s="175"/>
      <c r="O32" s="175"/>
      <c r="P32" s="175"/>
      <c r="Q32" s="175"/>
      <c r="R32" s="175"/>
      <c r="S32" s="175"/>
      <c r="T32" s="175"/>
      <c r="U32" s="175"/>
      <c r="V32" s="175"/>
      <c r="W32" s="176"/>
      <c r="X32" s="169" t="str">
        <f>X2</f>
        <v>и тарифов Ивановской области от 13.12.2024 № 50/9</v>
      </c>
    </row>
    <row r="33" spans="1:26" ht="20.25" hidden="1" customHeight="1" x14ac:dyDescent="0.3"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6"/>
      <c r="X33" s="170" t="s">
        <v>278</v>
      </c>
    </row>
    <row r="34" spans="1:26" ht="33.75" hidden="1" customHeight="1" x14ac:dyDescent="0.3">
      <c r="A34" s="294" t="s">
        <v>50</v>
      </c>
      <c r="B34" s="294" t="s">
        <v>233</v>
      </c>
      <c r="C34" s="287" t="s">
        <v>315</v>
      </c>
      <c r="D34" s="288"/>
      <c r="E34" s="288"/>
      <c r="F34" s="288"/>
      <c r="G34" s="288"/>
      <c r="H34" s="288"/>
      <c r="I34" s="288"/>
      <c r="J34" s="288"/>
      <c r="K34" s="288"/>
      <c r="L34" s="288"/>
      <c r="M34" s="288"/>
      <c r="N34" s="288"/>
      <c r="O34" s="288"/>
      <c r="P34" s="288"/>
      <c r="Q34" s="288"/>
      <c r="R34" s="288"/>
      <c r="S34" s="288"/>
      <c r="T34" s="288"/>
      <c r="U34" s="288"/>
      <c r="V34" s="288"/>
      <c r="W34" s="288"/>
      <c r="X34" s="289" t="s">
        <v>280</v>
      </c>
    </row>
    <row r="35" spans="1:26" ht="39" hidden="1" customHeight="1" x14ac:dyDescent="0.3">
      <c r="A35" s="294"/>
      <c r="B35" s="294"/>
      <c r="C35" s="289" t="s">
        <v>234</v>
      </c>
      <c r="D35" s="292" t="s">
        <v>281</v>
      </c>
      <c r="E35" s="293"/>
      <c r="F35" s="289" t="s">
        <v>234</v>
      </c>
      <c r="G35" s="289">
        <v>2024</v>
      </c>
      <c r="H35" s="289">
        <f>G35+1</f>
        <v>2025</v>
      </c>
      <c r="I35" s="289">
        <f>H35+1</f>
        <v>2026</v>
      </c>
      <c r="J35" s="289">
        <f t="shared" ref="J35" si="31">I35+1</f>
        <v>2027</v>
      </c>
      <c r="K35" s="289">
        <f t="shared" ref="K35" si="32">J35+1</f>
        <v>2028</v>
      </c>
      <c r="L35" s="289">
        <f t="shared" ref="L35" si="33">K35+1</f>
        <v>2029</v>
      </c>
      <c r="M35" s="289">
        <f>L35+1</f>
        <v>2030</v>
      </c>
      <c r="N35" s="289">
        <f>M35+1</f>
        <v>2031</v>
      </c>
      <c r="O35" s="289">
        <f t="shared" ref="O35" si="34">N35+1</f>
        <v>2032</v>
      </c>
      <c r="P35" s="289">
        <f>O35+1</f>
        <v>2033</v>
      </c>
      <c r="Q35" s="289">
        <f>P35+1</f>
        <v>2034</v>
      </c>
      <c r="R35" s="289">
        <f t="shared" ref="R35" si="35">Q35+1</f>
        <v>2035</v>
      </c>
      <c r="S35" s="289">
        <f t="shared" ref="S35" si="36">R35+1</f>
        <v>2036</v>
      </c>
      <c r="T35" s="289">
        <f>S35+1</f>
        <v>2037</v>
      </c>
      <c r="U35" s="289">
        <f>T35+1</f>
        <v>2038</v>
      </c>
      <c r="V35" s="289">
        <f t="shared" ref="V35" si="37">U35+1</f>
        <v>2039</v>
      </c>
      <c r="W35" s="289">
        <f t="shared" ref="W35" si="38">V35+1</f>
        <v>2040</v>
      </c>
      <c r="X35" s="290"/>
    </row>
    <row r="36" spans="1:26" ht="60.75" hidden="1" x14ac:dyDescent="0.3">
      <c r="A36" s="294"/>
      <c r="B36" s="294"/>
      <c r="C36" s="291"/>
      <c r="D36" s="181" t="s">
        <v>213</v>
      </c>
      <c r="E36" s="182" t="s">
        <v>282</v>
      </c>
      <c r="F36" s="291"/>
      <c r="G36" s="291"/>
      <c r="H36" s="291"/>
      <c r="I36" s="291"/>
      <c r="J36" s="291"/>
      <c r="K36" s="291"/>
      <c r="L36" s="291"/>
      <c r="M36" s="291"/>
      <c r="N36" s="291"/>
      <c r="O36" s="291"/>
      <c r="P36" s="291"/>
      <c r="Q36" s="291"/>
      <c r="R36" s="291"/>
      <c r="S36" s="291"/>
      <c r="T36" s="291"/>
      <c r="U36" s="291"/>
      <c r="V36" s="291"/>
      <c r="W36" s="291"/>
      <c r="X36" s="291"/>
    </row>
    <row r="37" spans="1:26" ht="15" hidden="1" customHeight="1" x14ac:dyDescent="0.3">
      <c r="A37" s="181">
        <f>COLUMN()</f>
        <v>1</v>
      </c>
      <c r="B37" s="181">
        <f>COLUMN()</f>
        <v>2</v>
      </c>
      <c r="C37" s="181">
        <f>COLUMN()</f>
        <v>3</v>
      </c>
      <c r="D37" s="181" t="s">
        <v>216</v>
      </c>
      <c r="E37" s="181" t="s">
        <v>217</v>
      </c>
      <c r="F37" s="181">
        <v>4</v>
      </c>
      <c r="G37" s="181">
        <v>5</v>
      </c>
      <c r="H37" s="181">
        <v>6</v>
      </c>
      <c r="I37" s="181">
        <f t="shared" ref="I37" si="39">H37+1</f>
        <v>7</v>
      </c>
      <c r="J37" s="181">
        <f t="shared" ref="J37" si="40">I37+1</f>
        <v>8</v>
      </c>
      <c r="K37" s="181">
        <f t="shared" ref="K37" si="41">J37+1</f>
        <v>9</v>
      </c>
      <c r="L37" s="181">
        <f t="shared" ref="L37" si="42">K37+1</f>
        <v>10</v>
      </c>
      <c r="M37" s="181">
        <f t="shared" ref="M37" si="43">L37+1</f>
        <v>11</v>
      </c>
      <c r="N37" s="181">
        <f t="shared" ref="N37" si="44">M37+1</f>
        <v>12</v>
      </c>
      <c r="O37" s="181">
        <f t="shared" ref="O37" si="45">N37+1</f>
        <v>13</v>
      </c>
      <c r="P37" s="181">
        <f t="shared" ref="P37" si="46">O37+1</f>
        <v>14</v>
      </c>
      <c r="Q37" s="181">
        <f t="shared" ref="Q37" si="47">P37+1</f>
        <v>15</v>
      </c>
      <c r="R37" s="181">
        <f t="shared" ref="R37" si="48">Q37+1</f>
        <v>16</v>
      </c>
      <c r="S37" s="181">
        <f t="shared" ref="S37" si="49">R37+1</f>
        <v>17</v>
      </c>
      <c r="T37" s="181">
        <f t="shared" ref="T37" si="50">S37+1</f>
        <v>18</v>
      </c>
      <c r="U37" s="181">
        <f t="shared" ref="U37" si="51">T37+1</f>
        <v>19</v>
      </c>
      <c r="V37" s="181">
        <f t="shared" ref="V37" si="52">U37+1</f>
        <v>20</v>
      </c>
      <c r="W37" s="181">
        <f t="shared" ref="W37" si="53">V37+1</f>
        <v>21</v>
      </c>
      <c r="X37" s="181">
        <f t="shared" ref="X37" si="54">W37+1</f>
        <v>22</v>
      </c>
    </row>
    <row r="38" spans="1:26" ht="15" hidden="1" customHeight="1" x14ac:dyDescent="0.3">
      <c r="A38" s="287" t="str">
        <f>B34</f>
        <v>Источники финансирования</v>
      </c>
      <c r="B38" s="288"/>
      <c r="C38" s="288"/>
      <c r="D38" s="288"/>
      <c r="E38" s="288"/>
      <c r="F38" s="288"/>
      <c r="G38" s="288"/>
      <c r="H38" s="288"/>
      <c r="I38" s="288"/>
      <c r="J38" s="288"/>
      <c r="K38" s="288"/>
      <c r="L38" s="288"/>
      <c r="M38" s="288"/>
      <c r="N38" s="288"/>
      <c r="O38" s="288"/>
      <c r="P38" s="288"/>
      <c r="Q38" s="288"/>
      <c r="R38" s="288"/>
      <c r="S38" s="288"/>
      <c r="T38" s="288"/>
      <c r="U38" s="288"/>
      <c r="V38" s="288"/>
      <c r="W38" s="288"/>
      <c r="X38" s="295"/>
    </row>
    <row r="39" spans="1:26" s="188" customFormat="1" ht="121.5" x14ac:dyDescent="0.3">
      <c r="A39" s="181"/>
      <c r="B39" s="189" t="s">
        <v>157</v>
      </c>
      <c r="C39" s="139">
        <f>'№2 ИП ТС'!R41</f>
        <v>1070.9169999999999</v>
      </c>
      <c r="D39" s="139">
        <v>0</v>
      </c>
      <c r="E39" s="139">
        <f t="shared" si="28"/>
        <v>1070.9169999999999</v>
      </c>
      <c r="F39" s="190">
        <f t="shared" si="29"/>
        <v>1070.9169999999999</v>
      </c>
      <c r="G39" s="139">
        <v>0</v>
      </c>
      <c r="H39" s="139">
        <v>0</v>
      </c>
      <c r="I39" s="139">
        <v>0</v>
      </c>
      <c r="J39" s="139">
        <f t="shared" si="30"/>
        <v>1070.9169999999999</v>
      </c>
      <c r="K39" s="139">
        <v>0</v>
      </c>
      <c r="L39" s="139">
        <v>0</v>
      </c>
      <c r="M39" s="139">
        <v>0</v>
      </c>
      <c r="N39" s="139">
        <v>0</v>
      </c>
      <c r="O39" s="139">
        <v>0</v>
      </c>
      <c r="P39" s="139">
        <v>0</v>
      </c>
      <c r="Q39" s="139">
        <v>0</v>
      </c>
      <c r="R39" s="139">
        <v>0</v>
      </c>
      <c r="S39" s="139">
        <v>0</v>
      </c>
      <c r="T39" s="139">
        <v>0</v>
      </c>
      <c r="U39" s="139">
        <v>0</v>
      </c>
      <c r="V39" s="139">
        <v>0</v>
      </c>
      <c r="W39" s="139">
        <v>0</v>
      </c>
      <c r="X39" s="192" t="s">
        <v>183</v>
      </c>
      <c r="Y39" s="187"/>
      <c r="Z39" s="187"/>
    </row>
    <row r="40" spans="1:26" s="194" customFormat="1" ht="121.5" x14ac:dyDescent="0.3">
      <c r="A40" s="181"/>
      <c r="B40" s="189" t="s">
        <v>158</v>
      </c>
      <c r="C40" s="139">
        <f>'№2 ИП ТС'!R42</f>
        <v>911.41700000000003</v>
      </c>
      <c r="D40" s="139">
        <v>0</v>
      </c>
      <c r="E40" s="139">
        <f t="shared" si="28"/>
        <v>911.41700000000003</v>
      </c>
      <c r="F40" s="190">
        <f t="shared" si="29"/>
        <v>911.41700000000003</v>
      </c>
      <c r="G40" s="139">
        <v>0</v>
      </c>
      <c r="H40" s="139">
        <v>0</v>
      </c>
      <c r="I40" s="139">
        <v>0</v>
      </c>
      <c r="J40" s="139">
        <f t="shared" si="30"/>
        <v>911.41700000000003</v>
      </c>
      <c r="K40" s="139">
        <v>0</v>
      </c>
      <c r="L40" s="139">
        <v>0</v>
      </c>
      <c r="M40" s="139">
        <v>0</v>
      </c>
      <c r="N40" s="139">
        <v>0</v>
      </c>
      <c r="O40" s="139">
        <v>0</v>
      </c>
      <c r="P40" s="139">
        <v>0</v>
      </c>
      <c r="Q40" s="139">
        <v>0</v>
      </c>
      <c r="R40" s="139">
        <v>0</v>
      </c>
      <c r="S40" s="139">
        <v>0</v>
      </c>
      <c r="T40" s="139">
        <v>0</v>
      </c>
      <c r="U40" s="139">
        <v>0</v>
      </c>
      <c r="V40" s="139">
        <v>0</v>
      </c>
      <c r="W40" s="139">
        <v>0</v>
      </c>
      <c r="X40" s="192" t="s">
        <v>184</v>
      </c>
      <c r="Y40" s="193"/>
      <c r="Z40" s="193"/>
    </row>
    <row r="41" spans="1:26" s="194" customFormat="1" ht="121.5" x14ac:dyDescent="0.3">
      <c r="A41" s="181"/>
      <c r="B41" s="189" t="s">
        <v>159</v>
      </c>
      <c r="C41" s="139">
        <f>'№2 ИП ТС'!R43</f>
        <v>155.03299999999999</v>
      </c>
      <c r="D41" s="139">
        <v>0</v>
      </c>
      <c r="E41" s="139">
        <f t="shared" si="28"/>
        <v>155.03299999999999</v>
      </c>
      <c r="F41" s="190">
        <f t="shared" si="29"/>
        <v>155.03299999999999</v>
      </c>
      <c r="G41" s="139">
        <v>0</v>
      </c>
      <c r="H41" s="139">
        <v>0</v>
      </c>
      <c r="I41" s="139">
        <v>0</v>
      </c>
      <c r="J41" s="139">
        <f t="shared" si="30"/>
        <v>155.03299999999999</v>
      </c>
      <c r="K41" s="139">
        <v>0</v>
      </c>
      <c r="L41" s="139">
        <v>0</v>
      </c>
      <c r="M41" s="139">
        <v>0</v>
      </c>
      <c r="N41" s="139">
        <v>0</v>
      </c>
      <c r="O41" s="139">
        <v>0</v>
      </c>
      <c r="P41" s="139">
        <v>0</v>
      </c>
      <c r="Q41" s="139">
        <v>0</v>
      </c>
      <c r="R41" s="139">
        <v>0</v>
      </c>
      <c r="S41" s="139">
        <v>0</v>
      </c>
      <c r="T41" s="139">
        <v>0</v>
      </c>
      <c r="U41" s="139">
        <v>0</v>
      </c>
      <c r="V41" s="139">
        <v>0</v>
      </c>
      <c r="W41" s="139">
        <v>0</v>
      </c>
      <c r="X41" s="192" t="s">
        <v>185</v>
      </c>
      <c r="Y41" s="193"/>
      <c r="Z41" s="193"/>
    </row>
    <row r="42" spans="1:26" s="194" customFormat="1" ht="121.5" x14ac:dyDescent="0.3">
      <c r="A42" s="181"/>
      <c r="B42" s="189" t="s">
        <v>160</v>
      </c>
      <c r="C42" s="139">
        <f>'№2 ИП ТС'!R44</f>
        <v>330.392</v>
      </c>
      <c r="D42" s="139">
        <v>0</v>
      </c>
      <c r="E42" s="139">
        <f t="shared" si="28"/>
        <v>330.392</v>
      </c>
      <c r="F42" s="190">
        <f t="shared" si="29"/>
        <v>330.392</v>
      </c>
      <c r="G42" s="139">
        <v>0</v>
      </c>
      <c r="H42" s="139">
        <v>0</v>
      </c>
      <c r="I42" s="139">
        <v>0</v>
      </c>
      <c r="J42" s="139">
        <f t="shared" si="30"/>
        <v>330.392</v>
      </c>
      <c r="K42" s="139">
        <v>0</v>
      </c>
      <c r="L42" s="139">
        <v>0</v>
      </c>
      <c r="M42" s="139">
        <v>0</v>
      </c>
      <c r="N42" s="139">
        <v>0</v>
      </c>
      <c r="O42" s="139">
        <v>0</v>
      </c>
      <c r="P42" s="139">
        <v>0</v>
      </c>
      <c r="Q42" s="139">
        <v>0</v>
      </c>
      <c r="R42" s="139">
        <v>0</v>
      </c>
      <c r="S42" s="139">
        <v>0</v>
      </c>
      <c r="T42" s="139">
        <v>0</v>
      </c>
      <c r="U42" s="139">
        <v>0</v>
      </c>
      <c r="V42" s="139">
        <v>0</v>
      </c>
      <c r="W42" s="139">
        <v>0</v>
      </c>
      <c r="X42" s="192" t="s">
        <v>186</v>
      </c>
      <c r="Y42" s="193"/>
      <c r="Z42" s="193"/>
    </row>
    <row r="43" spans="1:26" s="194" customFormat="1" ht="121.5" x14ac:dyDescent="0.3">
      <c r="A43" s="181"/>
      <c r="B43" s="189" t="s">
        <v>161</v>
      </c>
      <c r="C43" s="139">
        <f>'№2 ИП ТС'!R45</f>
        <v>341.78300000000002</v>
      </c>
      <c r="D43" s="139">
        <v>0</v>
      </c>
      <c r="E43" s="139">
        <f t="shared" si="28"/>
        <v>341.78300000000002</v>
      </c>
      <c r="F43" s="190">
        <f t="shared" si="29"/>
        <v>341.78300000000002</v>
      </c>
      <c r="G43" s="139">
        <v>0</v>
      </c>
      <c r="H43" s="139">
        <v>0</v>
      </c>
      <c r="I43" s="139">
        <v>0</v>
      </c>
      <c r="J43" s="139">
        <f t="shared" si="30"/>
        <v>341.78300000000002</v>
      </c>
      <c r="K43" s="139">
        <v>0</v>
      </c>
      <c r="L43" s="139">
        <v>0</v>
      </c>
      <c r="M43" s="139">
        <v>0</v>
      </c>
      <c r="N43" s="139">
        <v>0</v>
      </c>
      <c r="O43" s="139">
        <v>0</v>
      </c>
      <c r="P43" s="139">
        <v>0</v>
      </c>
      <c r="Q43" s="139">
        <v>0</v>
      </c>
      <c r="R43" s="139">
        <v>0</v>
      </c>
      <c r="S43" s="139">
        <v>0</v>
      </c>
      <c r="T43" s="139">
        <v>0</v>
      </c>
      <c r="U43" s="139">
        <v>0</v>
      </c>
      <c r="V43" s="139">
        <v>0</v>
      </c>
      <c r="W43" s="139">
        <v>0</v>
      </c>
      <c r="X43" s="192" t="s">
        <v>187</v>
      </c>
      <c r="Y43" s="193"/>
      <c r="Z43" s="193"/>
    </row>
    <row r="44" spans="1:26" s="194" customFormat="1" ht="141.75" x14ac:dyDescent="0.3">
      <c r="A44" s="181"/>
      <c r="B44" s="189" t="s">
        <v>162</v>
      </c>
      <c r="C44" s="139">
        <f>'№2 ИП ТС'!R46</f>
        <v>458.2</v>
      </c>
      <c r="D44" s="139">
        <v>0</v>
      </c>
      <c r="E44" s="139">
        <f t="shared" si="28"/>
        <v>458.2</v>
      </c>
      <c r="F44" s="190">
        <f t="shared" si="29"/>
        <v>458.2</v>
      </c>
      <c r="G44" s="139">
        <v>0</v>
      </c>
      <c r="H44" s="139">
        <v>0</v>
      </c>
      <c r="I44" s="139">
        <v>0</v>
      </c>
      <c r="J44" s="139">
        <f t="shared" si="30"/>
        <v>458.2</v>
      </c>
      <c r="K44" s="139">
        <v>0</v>
      </c>
      <c r="L44" s="139">
        <v>0</v>
      </c>
      <c r="M44" s="139">
        <v>0</v>
      </c>
      <c r="N44" s="139">
        <v>0</v>
      </c>
      <c r="O44" s="139">
        <v>0</v>
      </c>
      <c r="P44" s="139">
        <v>0</v>
      </c>
      <c r="Q44" s="139">
        <v>0</v>
      </c>
      <c r="R44" s="139">
        <v>0</v>
      </c>
      <c r="S44" s="139">
        <v>0</v>
      </c>
      <c r="T44" s="139">
        <v>0</v>
      </c>
      <c r="U44" s="139">
        <v>0</v>
      </c>
      <c r="V44" s="139">
        <v>0</v>
      </c>
      <c r="W44" s="139">
        <v>0</v>
      </c>
      <c r="X44" s="192" t="s">
        <v>188</v>
      </c>
      <c r="Y44" s="193"/>
      <c r="Z44" s="193"/>
    </row>
    <row r="45" spans="1:26" s="194" customFormat="1" ht="101.25" x14ac:dyDescent="0.3">
      <c r="A45" s="181"/>
      <c r="B45" s="189" t="s">
        <v>189</v>
      </c>
      <c r="C45" s="139">
        <f>'№2 ИП ТС'!R48</f>
        <v>3109.2460000000001</v>
      </c>
      <c r="D45" s="139">
        <f>C45</f>
        <v>3109.2460000000001</v>
      </c>
      <c r="E45" s="139"/>
      <c r="F45" s="190">
        <f t="shared" si="29"/>
        <v>3109.2460000000001</v>
      </c>
      <c r="G45" s="139">
        <v>0</v>
      </c>
      <c r="H45" s="139">
        <v>0</v>
      </c>
      <c r="I45" s="139">
        <v>0</v>
      </c>
      <c r="J45" s="139">
        <v>0</v>
      </c>
      <c r="K45" s="139">
        <v>0</v>
      </c>
      <c r="L45" s="139">
        <f>C45</f>
        <v>3109.2460000000001</v>
      </c>
      <c r="M45" s="139">
        <v>0</v>
      </c>
      <c r="N45" s="139">
        <v>0</v>
      </c>
      <c r="O45" s="139">
        <v>0</v>
      </c>
      <c r="P45" s="139">
        <v>0</v>
      </c>
      <c r="Q45" s="139">
        <v>0</v>
      </c>
      <c r="R45" s="139">
        <v>0</v>
      </c>
      <c r="S45" s="139">
        <v>0</v>
      </c>
      <c r="T45" s="139">
        <v>0</v>
      </c>
      <c r="U45" s="139">
        <v>0</v>
      </c>
      <c r="V45" s="139">
        <v>0</v>
      </c>
      <c r="W45" s="139">
        <v>0</v>
      </c>
      <c r="X45" s="192" t="s">
        <v>131</v>
      </c>
      <c r="Y45" s="193"/>
      <c r="Z45" s="193"/>
    </row>
    <row r="46" spans="1:26" s="194" customFormat="1" ht="56.25" customHeight="1" x14ac:dyDescent="0.3">
      <c r="A46" s="181" t="s">
        <v>218</v>
      </c>
      <c r="B46" s="189" t="s">
        <v>244</v>
      </c>
      <c r="C46" s="190">
        <f t="shared" si="23"/>
        <v>0</v>
      </c>
      <c r="D46" s="190">
        <v>0</v>
      </c>
      <c r="E46" s="190">
        <v>0</v>
      </c>
      <c r="F46" s="190">
        <f t="shared" si="25"/>
        <v>0</v>
      </c>
      <c r="G46" s="190">
        <v>0</v>
      </c>
      <c r="H46" s="190">
        <v>0</v>
      </c>
      <c r="I46" s="190">
        <v>0</v>
      </c>
      <c r="J46" s="190">
        <v>0</v>
      </c>
      <c r="K46" s="190">
        <v>0</v>
      </c>
      <c r="L46" s="190">
        <v>0</v>
      </c>
      <c r="M46" s="190">
        <v>0</v>
      </c>
      <c r="N46" s="190">
        <v>0</v>
      </c>
      <c r="O46" s="190">
        <v>0</v>
      </c>
      <c r="P46" s="190">
        <v>0</v>
      </c>
      <c r="Q46" s="190">
        <v>0</v>
      </c>
      <c r="R46" s="190">
        <v>0</v>
      </c>
      <c r="S46" s="190">
        <v>0</v>
      </c>
      <c r="T46" s="190">
        <v>0</v>
      </c>
      <c r="U46" s="190">
        <v>0</v>
      </c>
      <c r="V46" s="190">
        <v>0</v>
      </c>
      <c r="W46" s="190">
        <v>0</v>
      </c>
      <c r="X46" s="186"/>
      <c r="Y46" s="193"/>
      <c r="Z46" s="193"/>
    </row>
    <row r="47" spans="1:26" s="194" customFormat="1" ht="97.5" customHeight="1" x14ac:dyDescent="0.3">
      <c r="A47" s="183" t="s">
        <v>219</v>
      </c>
      <c r="B47" s="184" t="s">
        <v>293</v>
      </c>
      <c r="C47" s="185">
        <f>SUM(G47:W47)</f>
        <v>0</v>
      </c>
      <c r="D47" s="185">
        <v>0</v>
      </c>
      <c r="E47" s="185">
        <v>0</v>
      </c>
      <c r="F47" s="185">
        <f t="shared" si="25"/>
        <v>0</v>
      </c>
      <c r="G47" s="185">
        <v>0</v>
      </c>
      <c r="H47" s="185">
        <v>0</v>
      </c>
      <c r="I47" s="185">
        <v>0</v>
      </c>
      <c r="J47" s="185">
        <v>0</v>
      </c>
      <c r="K47" s="185">
        <v>0</v>
      </c>
      <c r="L47" s="185">
        <v>0</v>
      </c>
      <c r="M47" s="185">
        <v>0</v>
      </c>
      <c r="N47" s="185">
        <v>0</v>
      </c>
      <c r="O47" s="185">
        <v>0</v>
      </c>
      <c r="P47" s="185">
        <v>0</v>
      </c>
      <c r="Q47" s="185">
        <v>0</v>
      </c>
      <c r="R47" s="185">
        <v>0</v>
      </c>
      <c r="S47" s="185">
        <v>0</v>
      </c>
      <c r="T47" s="185">
        <v>0</v>
      </c>
      <c r="U47" s="185">
        <v>0</v>
      </c>
      <c r="V47" s="185">
        <v>0</v>
      </c>
      <c r="W47" s="185">
        <v>0</v>
      </c>
      <c r="X47" s="186"/>
      <c r="Y47" s="193"/>
      <c r="Z47" s="193"/>
    </row>
    <row r="48" spans="1:26" s="194" customFormat="1" ht="63" customHeight="1" x14ac:dyDescent="0.3">
      <c r="A48" s="183" t="s">
        <v>220</v>
      </c>
      <c r="B48" s="184" t="s">
        <v>245</v>
      </c>
      <c r="C48" s="185">
        <f>SUM(G48:W48)</f>
        <v>0</v>
      </c>
      <c r="D48" s="185">
        <v>0</v>
      </c>
      <c r="E48" s="185">
        <f>SUM(G48:S48)</f>
        <v>0</v>
      </c>
      <c r="F48" s="185">
        <f t="shared" si="25"/>
        <v>0</v>
      </c>
      <c r="G48" s="185">
        <v>0</v>
      </c>
      <c r="H48" s="185">
        <v>0</v>
      </c>
      <c r="I48" s="185">
        <v>0</v>
      </c>
      <c r="J48" s="185">
        <v>0</v>
      </c>
      <c r="K48" s="185">
        <v>0</v>
      </c>
      <c r="L48" s="185">
        <v>0</v>
      </c>
      <c r="M48" s="185">
        <v>0</v>
      </c>
      <c r="N48" s="185">
        <v>0</v>
      </c>
      <c r="O48" s="185">
        <v>0</v>
      </c>
      <c r="P48" s="185">
        <v>0</v>
      </c>
      <c r="Q48" s="185">
        <v>0</v>
      </c>
      <c r="R48" s="185">
        <v>0</v>
      </c>
      <c r="S48" s="185">
        <v>0</v>
      </c>
      <c r="T48" s="185">
        <v>0</v>
      </c>
      <c r="U48" s="185">
        <v>0</v>
      </c>
      <c r="V48" s="185">
        <v>0</v>
      </c>
      <c r="W48" s="185">
        <v>0</v>
      </c>
      <c r="X48" s="186"/>
      <c r="Y48" s="193"/>
      <c r="Z48" s="193"/>
    </row>
    <row r="49" spans="1:26" s="194" customFormat="1" ht="56.25" customHeight="1" x14ac:dyDescent="0.3">
      <c r="A49" s="183"/>
      <c r="B49" s="184" t="s">
        <v>148</v>
      </c>
      <c r="C49" s="185">
        <f>SUM(G49:W49)</f>
        <v>10871.002469999999</v>
      </c>
      <c r="D49" s="185">
        <f t="shared" ref="D49:I49" si="55">D13+D22+D47+D48</f>
        <v>3109.2460000000001</v>
      </c>
      <c r="E49" s="185">
        <f t="shared" si="55"/>
        <v>7761.7564700000003</v>
      </c>
      <c r="F49" s="185">
        <f t="shared" si="55"/>
        <v>10875.002469999999</v>
      </c>
      <c r="G49" s="185">
        <f t="shared" si="55"/>
        <v>0</v>
      </c>
      <c r="H49" s="185">
        <f t="shared" si="55"/>
        <v>0</v>
      </c>
      <c r="I49" s="185">
        <f t="shared" si="55"/>
        <v>0</v>
      </c>
      <c r="J49" s="185">
        <f t="shared" ref="J49:O49" si="56">J13+J22+J47+J48</f>
        <v>7761.7564699999984</v>
      </c>
      <c r="K49" s="185">
        <f t="shared" si="56"/>
        <v>0</v>
      </c>
      <c r="L49" s="185">
        <f t="shared" si="56"/>
        <v>3109.2460000000001</v>
      </c>
      <c r="M49" s="185">
        <f t="shared" si="56"/>
        <v>0</v>
      </c>
      <c r="N49" s="185">
        <f t="shared" si="56"/>
        <v>0</v>
      </c>
      <c r="O49" s="185">
        <f t="shared" si="56"/>
        <v>0</v>
      </c>
      <c r="P49" s="185">
        <f t="shared" ref="P49:W49" si="57">P13+P22+P47+P48</f>
        <v>0</v>
      </c>
      <c r="Q49" s="185">
        <f t="shared" si="57"/>
        <v>0</v>
      </c>
      <c r="R49" s="185">
        <f t="shared" si="57"/>
        <v>0</v>
      </c>
      <c r="S49" s="185">
        <f t="shared" si="57"/>
        <v>0</v>
      </c>
      <c r="T49" s="185">
        <f t="shared" si="57"/>
        <v>0</v>
      </c>
      <c r="U49" s="185">
        <f t="shared" si="57"/>
        <v>0</v>
      </c>
      <c r="V49" s="185">
        <f t="shared" si="57"/>
        <v>0</v>
      </c>
      <c r="W49" s="185">
        <f t="shared" si="57"/>
        <v>0</v>
      </c>
      <c r="X49" s="195"/>
      <c r="Y49" s="193"/>
      <c r="Z49" s="193"/>
    </row>
    <row r="50" spans="1:26" ht="20.25" hidden="1" customHeight="1" x14ac:dyDescent="0.3">
      <c r="I50" s="175"/>
      <c r="J50" s="175"/>
      <c r="K50" s="175"/>
      <c r="L50" s="175"/>
      <c r="M50" s="175"/>
      <c r="N50" s="175"/>
      <c r="O50" s="175"/>
      <c r="P50" s="175"/>
      <c r="Q50" s="175"/>
      <c r="R50" s="175"/>
      <c r="S50" s="175"/>
      <c r="T50" s="175"/>
      <c r="U50" s="175"/>
      <c r="V50" s="175"/>
      <c r="W50" s="176"/>
      <c r="X50" s="169" t="s">
        <v>397</v>
      </c>
    </row>
    <row r="51" spans="1:26" ht="20.25" hidden="1" customHeight="1" x14ac:dyDescent="0.3">
      <c r="I51" s="175"/>
      <c r="J51" s="175"/>
      <c r="K51" s="175"/>
      <c r="L51" s="175"/>
      <c r="M51" s="175"/>
      <c r="N51" s="175"/>
      <c r="O51" s="175"/>
      <c r="P51" s="175"/>
      <c r="Q51" s="175"/>
      <c r="R51" s="175"/>
      <c r="S51" s="175"/>
      <c r="T51" s="175"/>
      <c r="U51" s="175"/>
      <c r="V51" s="175"/>
      <c r="W51" s="176"/>
      <c r="X51" s="169" t="str">
        <f>X2</f>
        <v>и тарифов Ивановской области от 13.12.2024 № 50/9</v>
      </c>
    </row>
    <row r="52" spans="1:26" ht="20.25" hidden="1" customHeight="1" x14ac:dyDescent="0.3">
      <c r="I52" s="175"/>
      <c r="J52" s="175"/>
      <c r="K52" s="175"/>
      <c r="L52" s="175"/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  <c r="X52" s="170" t="s">
        <v>278</v>
      </c>
    </row>
    <row r="53" spans="1:26" ht="33.75" hidden="1" customHeight="1" x14ac:dyDescent="0.3">
      <c r="A53" s="294" t="s">
        <v>50</v>
      </c>
      <c r="B53" s="294" t="s">
        <v>233</v>
      </c>
      <c r="C53" s="287" t="s">
        <v>315</v>
      </c>
      <c r="D53" s="288"/>
      <c r="E53" s="288"/>
      <c r="F53" s="288"/>
      <c r="G53" s="288"/>
      <c r="H53" s="288"/>
      <c r="I53" s="288"/>
      <c r="J53" s="288"/>
      <c r="K53" s="288"/>
      <c r="L53" s="288"/>
      <c r="M53" s="288"/>
      <c r="N53" s="288"/>
      <c r="O53" s="288"/>
      <c r="P53" s="288"/>
      <c r="Q53" s="288"/>
      <c r="R53" s="288"/>
      <c r="S53" s="288"/>
      <c r="T53" s="288"/>
      <c r="U53" s="288"/>
      <c r="V53" s="288"/>
      <c r="W53" s="288"/>
      <c r="X53" s="289" t="s">
        <v>280</v>
      </c>
    </row>
    <row r="54" spans="1:26" ht="39" hidden="1" customHeight="1" x14ac:dyDescent="0.3">
      <c r="A54" s="294"/>
      <c r="B54" s="294"/>
      <c r="C54" s="289" t="s">
        <v>234</v>
      </c>
      <c r="D54" s="292" t="s">
        <v>281</v>
      </c>
      <c r="E54" s="293"/>
      <c r="F54" s="289" t="s">
        <v>234</v>
      </c>
      <c r="G54" s="289">
        <v>2024</v>
      </c>
      <c r="H54" s="289">
        <f>G54+1</f>
        <v>2025</v>
      </c>
      <c r="I54" s="289">
        <f>H54+1</f>
        <v>2026</v>
      </c>
      <c r="J54" s="289">
        <f t="shared" ref="J54" si="58">I54+1</f>
        <v>2027</v>
      </c>
      <c r="K54" s="289">
        <f t="shared" ref="K54" si="59">J54+1</f>
        <v>2028</v>
      </c>
      <c r="L54" s="289">
        <f t="shared" ref="L54" si="60">K54+1</f>
        <v>2029</v>
      </c>
      <c r="M54" s="289">
        <f>L54+1</f>
        <v>2030</v>
      </c>
      <c r="N54" s="289">
        <f>M54+1</f>
        <v>2031</v>
      </c>
      <c r="O54" s="289">
        <f t="shared" ref="O54" si="61">N54+1</f>
        <v>2032</v>
      </c>
      <c r="P54" s="289">
        <f>O54+1</f>
        <v>2033</v>
      </c>
      <c r="Q54" s="289">
        <f>P54+1</f>
        <v>2034</v>
      </c>
      <c r="R54" s="289">
        <f t="shared" ref="R54" si="62">Q54+1</f>
        <v>2035</v>
      </c>
      <c r="S54" s="289">
        <f t="shared" ref="S54" si="63">R54+1</f>
        <v>2036</v>
      </c>
      <c r="T54" s="289">
        <f>S54+1</f>
        <v>2037</v>
      </c>
      <c r="U54" s="289">
        <f>T54+1</f>
        <v>2038</v>
      </c>
      <c r="V54" s="289">
        <f t="shared" ref="V54" si="64">U54+1</f>
        <v>2039</v>
      </c>
      <c r="W54" s="289">
        <f t="shared" ref="W54" si="65">V54+1</f>
        <v>2040</v>
      </c>
      <c r="X54" s="290"/>
    </row>
    <row r="55" spans="1:26" ht="60.75" hidden="1" x14ac:dyDescent="0.3">
      <c r="A55" s="294"/>
      <c r="B55" s="294"/>
      <c r="C55" s="291"/>
      <c r="D55" s="181" t="s">
        <v>213</v>
      </c>
      <c r="E55" s="182" t="s">
        <v>282</v>
      </c>
      <c r="F55" s="291"/>
      <c r="G55" s="291"/>
      <c r="H55" s="291"/>
      <c r="I55" s="291"/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</row>
    <row r="56" spans="1:26" ht="15" hidden="1" customHeight="1" x14ac:dyDescent="0.3">
      <c r="A56" s="181">
        <f>COLUMN()</f>
        <v>1</v>
      </c>
      <c r="B56" s="181">
        <f>COLUMN()</f>
        <v>2</v>
      </c>
      <c r="C56" s="181">
        <f>COLUMN()</f>
        <v>3</v>
      </c>
      <c r="D56" s="181" t="s">
        <v>216</v>
      </c>
      <c r="E56" s="181" t="s">
        <v>217</v>
      </c>
      <c r="F56" s="181">
        <v>4</v>
      </c>
      <c r="G56" s="181">
        <v>5</v>
      </c>
      <c r="H56" s="181">
        <v>6</v>
      </c>
      <c r="I56" s="181">
        <f t="shared" ref="I56" si="66">H56+1</f>
        <v>7</v>
      </c>
      <c r="J56" s="181">
        <f t="shared" ref="J56" si="67">I56+1</f>
        <v>8</v>
      </c>
      <c r="K56" s="181">
        <f t="shared" ref="K56" si="68">J56+1</f>
        <v>9</v>
      </c>
      <c r="L56" s="181">
        <f t="shared" ref="L56" si="69">K56+1</f>
        <v>10</v>
      </c>
      <c r="M56" s="181">
        <f t="shared" ref="M56" si="70">L56+1</f>
        <v>11</v>
      </c>
      <c r="N56" s="181">
        <f t="shared" ref="N56" si="71">M56+1</f>
        <v>12</v>
      </c>
      <c r="O56" s="181">
        <f t="shared" ref="O56" si="72">N56+1</f>
        <v>13</v>
      </c>
      <c r="P56" s="181">
        <f t="shared" ref="P56" si="73">O56+1</f>
        <v>14</v>
      </c>
      <c r="Q56" s="181">
        <f t="shared" ref="Q56" si="74">P56+1</f>
        <v>15</v>
      </c>
      <c r="R56" s="181">
        <f t="shared" ref="R56" si="75">Q56+1</f>
        <v>16</v>
      </c>
      <c r="S56" s="181">
        <f t="shared" ref="S56" si="76">R56+1</f>
        <v>17</v>
      </c>
      <c r="T56" s="181">
        <f t="shared" ref="T56" si="77">S56+1</f>
        <v>18</v>
      </c>
      <c r="U56" s="181">
        <f t="shared" ref="U56" si="78">T56+1</f>
        <v>19</v>
      </c>
      <c r="V56" s="181">
        <f t="shared" ref="V56" si="79">U56+1</f>
        <v>20</v>
      </c>
      <c r="W56" s="181">
        <f t="shared" ref="W56" si="80">V56+1</f>
        <v>21</v>
      </c>
      <c r="X56" s="181">
        <f t="shared" ref="X56" si="81">W56+1</f>
        <v>22</v>
      </c>
    </row>
    <row r="57" spans="1:26" s="194" customFormat="1" ht="32.25" customHeight="1" x14ac:dyDescent="0.3">
      <c r="A57" s="287" t="s">
        <v>246</v>
      </c>
      <c r="B57" s="288"/>
      <c r="C57" s="288"/>
      <c r="D57" s="288"/>
      <c r="E57" s="288"/>
      <c r="F57" s="288"/>
      <c r="G57" s="288"/>
      <c r="H57" s="288"/>
      <c r="I57" s="288"/>
      <c r="J57" s="288"/>
      <c r="K57" s="288"/>
      <c r="L57" s="288"/>
      <c r="M57" s="288"/>
      <c r="N57" s="288"/>
      <c r="O57" s="288"/>
      <c r="P57" s="288"/>
      <c r="Q57" s="288"/>
      <c r="R57" s="288"/>
      <c r="S57" s="288"/>
      <c r="T57" s="288"/>
      <c r="U57" s="288"/>
      <c r="V57" s="288"/>
      <c r="W57" s="288"/>
      <c r="X57" s="288"/>
      <c r="Y57" s="193"/>
      <c r="Z57" s="193"/>
    </row>
    <row r="58" spans="1:26" s="194" customFormat="1" ht="68.25" customHeight="1" x14ac:dyDescent="0.3">
      <c r="A58" s="196" t="s">
        <v>27</v>
      </c>
      <c r="B58" s="197" t="s">
        <v>235</v>
      </c>
      <c r="C58" s="163">
        <f>D58+E58</f>
        <v>10871.002470000001</v>
      </c>
      <c r="D58" s="163">
        <f t="shared" ref="D58:I58" si="82">D59+D81+D82+D83</f>
        <v>3109.246000000001</v>
      </c>
      <c r="E58" s="163">
        <f t="shared" si="82"/>
        <v>7761.7564700000003</v>
      </c>
      <c r="F58" s="163">
        <f t="shared" si="82"/>
        <v>10871.002470000003</v>
      </c>
      <c r="G58" s="163">
        <f t="shared" si="82"/>
        <v>0</v>
      </c>
      <c r="H58" s="163">
        <f t="shared" si="82"/>
        <v>0</v>
      </c>
      <c r="I58" s="163">
        <f t="shared" si="82"/>
        <v>0</v>
      </c>
      <c r="J58" s="163">
        <f t="shared" ref="J58:O58" si="83">J59+J81+J82+J83</f>
        <v>258.72521566666683</v>
      </c>
      <c r="K58" s="163">
        <f t="shared" si="83"/>
        <v>776.17564700000003</v>
      </c>
      <c r="L58" s="163">
        <f t="shared" si="83"/>
        <v>879.81718033333345</v>
      </c>
      <c r="M58" s="163">
        <f t="shared" si="83"/>
        <v>1087.1002470000003</v>
      </c>
      <c r="N58" s="163">
        <f t="shared" si="83"/>
        <v>1087.1002470000003</v>
      </c>
      <c r="O58" s="163">
        <f t="shared" si="83"/>
        <v>1087.1002470000003</v>
      </c>
      <c r="P58" s="163">
        <f t="shared" ref="P58:W58" si="84">P59+P81+P82+P83</f>
        <v>1087.1002470000003</v>
      </c>
      <c r="Q58" s="163">
        <f t="shared" si="84"/>
        <v>1087.1002470000003</v>
      </c>
      <c r="R58" s="163">
        <f t="shared" si="84"/>
        <v>1087.1002470000003</v>
      </c>
      <c r="S58" s="163">
        <f t="shared" si="84"/>
        <v>1087.1002470000003</v>
      </c>
      <c r="T58" s="163">
        <f t="shared" si="84"/>
        <v>828.37503133333303</v>
      </c>
      <c r="U58" s="163">
        <f t="shared" si="84"/>
        <v>310.92460000000028</v>
      </c>
      <c r="V58" s="163">
        <f t="shared" si="84"/>
        <v>207.28306666666685</v>
      </c>
      <c r="W58" s="163">
        <f t="shared" si="84"/>
        <v>0</v>
      </c>
      <c r="X58" s="163"/>
      <c r="Y58" s="193"/>
      <c r="Z58" s="193"/>
    </row>
    <row r="59" spans="1:26" s="194" customFormat="1" ht="82.5" customHeight="1" x14ac:dyDescent="0.3">
      <c r="A59" s="136" t="s">
        <v>111</v>
      </c>
      <c r="B59" s="198" t="s">
        <v>294</v>
      </c>
      <c r="C59" s="139">
        <f>D59+E59</f>
        <v>10871.002470000001</v>
      </c>
      <c r="D59" s="139">
        <f t="shared" ref="D59:E59" si="85">SUM(D60:D80)</f>
        <v>3109.246000000001</v>
      </c>
      <c r="E59" s="139">
        <f t="shared" si="85"/>
        <v>7761.7564700000003</v>
      </c>
      <c r="F59" s="139">
        <f t="shared" ref="F59:F81" si="86">SUM(G59:W59)</f>
        <v>10871.002470000003</v>
      </c>
      <c r="G59" s="139">
        <f>SUM(G60:G80)-G74-G76</f>
        <v>0</v>
      </c>
      <c r="H59" s="139">
        <f t="shared" ref="H59:W59" si="87">SUM(H60:H80)-H74-H76</f>
        <v>0</v>
      </c>
      <c r="I59" s="139">
        <f t="shared" si="87"/>
        <v>0</v>
      </c>
      <c r="J59" s="139">
        <f t="shared" si="87"/>
        <v>258.72521566666683</v>
      </c>
      <c r="K59" s="139">
        <f t="shared" si="87"/>
        <v>776.17564700000003</v>
      </c>
      <c r="L59" s="139">
        <f t="shared" si="87"/>
        <v>879.81718033333345</v>
      </c>
      <c r="M59" s="139">
        <f t="shared" si="87"/>
        <v>1087.1002470000003</v>
      </c>
      <c r="N59" s="139">
        <f t="shared" si="87"/>
        <v>1087.1002470000003</v>
      </c>
      <c r="O59" s="139">
        <f t="shared" si="87"/>
        <v>1087.1002470000003</v>
      </c>
      <c r="P59" s="139">
        <f t="shared" si="87"/>
        <v>1087.1002470000003</v>
      </c>
      <c r="Q59" s="139">
        <f t="shared" si="87"/>
        <v>1087.1002470000003</v>
      </c>
      <c r="R59" s="139">
        <f t="shared" si="87"/>
        <v>1087.1002470000003</v>
      </c>
      <c r="S59" s="139">
        <f t="shared" si="87"/>
        <v>1087.1002470000003</v>
      </c>
      <c r="T59" s="139">
        <f t="shared" si="87"/>
        <v>828.37503133333303</v>
      </c>
      <c r="U59" s="139">
        <f t="shared" si="87"/>
        <v>310.92460000000028</v>
      </c>
      <c r="V59" s="139">
        <f t="shared" si="87"/>
        <v>207.28306666666685</v>
      </c>
      <c r="W59" s="139">
        <f t="shared" si="87"/>
        <v>0</v>
      </c>
      <c r="X59" s="190"/>
      <c r="Y59" s="193"/>
      <c r="Z59" s="193"/>
    </row>
    <row r="60" spans="1:26" s="194" customFormat="1" ht="101.25" x14ac:dyDescent="0.3">
      <c r="A60" s="136" t="s">
        <v>302</v>
      </c>
      <c r="B60" s="189" t="s">
        <v>151</v>
      </c>
      <c r="C60" s="139">
        <f t="shared" ref="C60:C65" si="88">C25</f>
        <v>102.533</v>
      </c>
      <c r="D60" s="139">
        <v>0</v>
      </c>
      <c r="E60" s="139">
        <f>F60</f>
        <v>102.53299999999997</v>
      </c>
      <c r="F60" s="139">
        <f t="shared" si="86"/>
        <v>102.53299999999997</v>
      </c>
      <c r="G60" s="139">
        <v>0</v>
      </c>
      <c r="H60" s="139">
        <v>0</v>
      </c>
      <c r="I60" s="139">
        <v>0</v>
      </c>
      <c r="J60" s="139">
        <f>C60/10/12*4</f>
        <v>3.4177666666666666</v>
      </c>
      <c r="K60" s="139">
        <f>J60*3</f>
        <v>10.253299999999999</v>
      </c>
      <c r="L60" s="139">
        <f>K60</f>
        <v>10.253299999999999</v>
      </c>
      <c r="M60" s="139">
        <f t="shared" ref="M60:S60" si="89">L60</f>
        <v>10.253299999999999</v>
      </c>
      <c r="N60" s="139">
        <f t="shared" si="89"/>
        <v>10.253299999999999</v>
      </c>
      <c r="O60" s="139">
        <f t="shared" si="89"/>
        <v>10.253299999999999</v>
      </c>
      <c r="P60" s="139">
        <f t="shared" si="89"/>
        <v>10.253299999999999</v>
      </c>
      <c r="Q60" s="139">
        <f t="shared" si="89"/>
        <v>10.253299999999999</v>
      </c>
      <c r="R60" s="139">
        <f t="shared" si="89"/>
        <v>10.253299999999999</v>
      </c>
      <c r="S60" s="139">
        <f t="shared" si="89"/>
        <v>10.253299999999999</v>
      </c>
      <c r="T60" s="139">
        <f>S60/12*8</f>
        <v>6.8355333333333332</v>
      </c>
      <c r="U60" s="139">
        <v>0</v>
      </c>
      <c r="V60" s="139">
        <v>0</v>
      </c>
      <c r="W60" s="139">
        <v>0</v>
      </c>
      <c r="X60" s="192" t="s">
        <v>128</v>
      </c>
      <c r="Y60" s="193"/>
      <c r="Z60" s="193"/>
    </row>
    <row r="61" spans="1:26" ht="121.5" x14ac:dyDescent="0.3">
      <c r="A61" s="136" t="s">
        <v>303</v>
      </c>
      <c r="B61" s="189" t="s">
        <v>152</v>
      </c>
      <c r="C61" s="139">
        <f t="shared" si="88"/>
        <v>1768.15</v>
      </c>
      <c r="D61" s="139">
        <v>0</v>
      </c>
      <c r="E61" s="139">
        <f t="shared" ref="E61:E79" si="90">F61</f>
        <v>1768.15</v>
      </c>
      <c r="F61" s="139">
        <f t="shared" si="86"/>
        <v>1768.15</v>
      </c>
      <c r="G61" s="139">
        <v>0</v>
      </c>
      <c r="H61" s="139">
        <v>0</v>
      </c>
      <c r="I61" s="139">
        <v>0</v>
      </c>
      <c r="J61" s="139">
        <f t="shared" ref="J61:J79" si="91">C61/10/12*4</f>
        <v>58.938333333333333</v>
      </c>
      <c r="K61" s="139">
        <f t="shared" ref="K61:K79" si="92">J61*3</f>
        <v>176.815</v>
      </c>
      <c r="L61" s="139">
        <f t="shared" ref="L61:U80" si="93">K61</f>
        <v>176.815</v>
      </c>
      <c r="M61" s="139">
        <f t="shared" si="93"/>
        <v>176.815</v>
      </c>
      <c r="N61" s="139">
        <f t="shared" si="93"/>
        <v>176.815</v>
      </c>
      <c r="O61" s="139">
        <f t="shared" si="93"/>
        <v>176.815</v>
      </c>
      <c r="P61" s="139">
        <f t="shared" si="93"/>
        <v>176.815</v>
      </c>
      <c r="Q61" s="139">
        <f t="shared" si="93"/>
        <v>176.815</v>
      </c>
      <c r="R61" s="139">
        <f t="shared" si="93"/>
        <v>176.815</v>
      </c>
      <c r="S61" s="139">
        <f t="shared" si="93"/>
        <v>176.815</v>
      </c>
      <c r="T61" s="139">
        <f t="shared" ref="T61:T79" si="94">S61/12*8</f>
        <v>117.87666666666667</v>
      </c>
      <c r="U61" s="139">
        <v>0</v>
      </c>
      <c r="V61" s="139">
        <v>0</v>
      </c>
      <c r="W61" s="139">
        <v>0</v>
      </c>
      <c r="X61" s="192" t="s">
        <v>129</v>
      </c>
    </row>
    <row r="62" spans="1:26" ht="121.5" x14ac:dyDescent="0.3">
      <c r="A62" s="136" t="s">
        <v>304</v>
      </c>
      <c r="B62" s="189" t="s">
        <v>153</v>
      </c>
      <c r="C62" s="139">
        <f t="shared" si="88"/>
        <v>1367.125</v>
      </c>
      <c r="D62" s="139">
        <v>0</v>
      </c>
      <c r="E62" s="139">
        <f t="shared" si="90"/>
        <v>1367.125</v>
      </c>
      <c r="F62" s="139">
        <f t="shared" si="86"/>
        <v>1367.125</v>
      </c>
      <c r="G62" s="139">
        <v>0</v>
      </c>
      <c r="H62" s="139">
        <v>0</v>
      </c>
      <c r="I62" s="139">
        <v>0</v>
      </c>
      <c r="J62" s="139">
        <f t="shared" si="91"/>
        <v>45.570833333333333</v>
      </c>
      <c r="K62" s="139">
        <f t="shared" si="92"/>
        <v>136.71250000000001</v>
      </c>
      <c r="L62" s="139">
        <f t="shared" si="93"/>
        <v>136.71250000000001</v>
      </c>
      <c r="M62" s="139">
        <f t="shared" si="93"/>
        <v>136.71250000000001</v>
      </c>
      <c r="N62" s="139">
        <f t="shared" si="93"/>
        <v>136.71250000000001</v>
      </c>
      <c r="O62" s="139">
        <f t="shared" si="93"/>
        <v>136.71250000000001</v>
      </c>
      <c r="P62" s="139">
        <f t="shared" si="93"/>
        <v>136.71250000000001</v>
      </c>
      <c r="Q62" s="139">
        <f t="shared" si="93"/>
        <v>136.71250000000001</v>
      </c>
      <c r="R62" s="139">
        <f t="shared" si="93"/>
        <v>136.71250000000001</v>
      </c>
      <c r="S62" s="139">
        <f t="shared" si="93"/>
        <v>136.71250000000001</v>
      </c>
      <c r="T62" s="139">
        <f t="shared" si="94"/>
        <v>91.141666666666666</v>
      </c>
      <c r="U62" s="139">
        <v>0</v>
      </c>
      <c r="V62" s="139">
        <v>0</v>
      </c>
      <c r="W62" s="139">
        <v>0</v>
      </c>
      <c r="X62" s="192" t="s">
        <v>179</v>
      </c>
    </row>
    <row r="63" spans="1:26" ht="121.5" x14ac:dyDescent="0.3">
      <c r="A63" s="136" t="s">
        <v>305</v>
      </c>
      <c r="B63" s="189" t="s">
        <v>154</v>
      </c>
      <c r="C63" s="139">
        <f t="shared" si="88"/>
        <v>391.90800000000002</v>
      </c>
      <c r="D63" s="139">
        <v>0</v>
      </c>
      <c r="E63" s="139">
        <f t="shared" si="90"/>
        <v>391.90800000000007</v>
      </c>
      <c r="F63" s="139">
        <f t="shared" si="86"/>
        <v>391.90800000000007</v>
      </c>
      <c r="G63" s="139">
        <v>0</v>
      </c>
      <c r="H63" s="139">
        <v>0</v>
      </c>
      <c r="I63" s="139">
        <v>0</v>
      </c>
      <c r="J63" s="139">
        <f t="shared" si="91"/>
        <v>13.063600000000001</v>
      </c>
      <c r="K63" s="139">
        <f t="shared" si="92"/>
        <v>39.190800000000003</v>
      </c>
      <c r="L63" s="139">
        <f t="shared" si="93"/>
        <v>39.190800000000003</v>
      </c>
      <c r="M63" s="139">
        <f t="shared" si="93"/>
        <v>39.190800000000003</v>
      </c>
      <c r="N63" s="139">
        <f t="shared" si="93"/>
        <v>39.190800000000003</v>
      </c>
      <c r="O63" s="139">
        <f t="shared" si="93"/>
        <v>39.190800000000003</v>
      </c>
      <c r="P63" s="139">
        <f t="shared" si="93"/>
        <v>39.190800000000003</v>
      </c>
      <c r="Q63" s="139">
        <f t="shared" si="93"/>
        <v>39.190800000000003</v>
      </c>
      <c r="R63" s="139">
        <f t="shared" si="93"/>
        <v>39.190800000000003</v>
      </c>
      <c r="S63" s="139">
        <f t="shared" si="93"/>
        <v>39.190800000000003</v>
      </c>
      <c r="T63" s="139">
        <f t="shared" si="94"/>
        <v>26.127200000000002</v>
      </c>
      <c r="U63" s="139">
        <v>0</v>
      </c>
      <c r="V63" s="139">
        <v>0</v>
      </c>
      <c r="W63" s="139">
        <v>0</v>
      </c>
      <c r="X63" s="192" t="s">
        <v>180</v>
      </c>
    </row>
    <row r="64" spans="1:26" s="188" customFormat="1" ht="121.5" x14ac:dyDescent="0.3">
      <c r="A64" s="136" t="s">
        <v>306</v>
      </c>
      <c r="B64" s="189" t="s">
        <v>155</v>
      </c>
      <c r="C64" s="139">
        <f t="shared" si="88"/>
        <v>706.35</v>
      </c>
      <c r="D64" s="139">
        <v>0</v>
      </c>
      <c r="E64" s="139">
        <f t="shared" si="90"/>
        <v>706.35</v>
      </c>
      <c r="F64" s="139">
        <f t="shared" si="86"/>
        <v>706.35</v>
      </c>
      <c r="G64" s="139">
        <v>0</v>
      </c>
      <c r="H64" s="139">
        <v>0</v>
      </c>
      <c r="I64" s="139">
        <v>0</v>
      </c>
      <c r="J64" s="139">
        <f t="shared" si="91"/>
        <v>23.545000000000002</v>
      </c>
      <c r="K64" s="139">
        <f t="shared" si="92"/>
        <v>70.635000000000005</v>
      </c>
      <c r="L64" s="139">
        <f t="shared" si="93"/>
        <v>70.635000000000005</v>
      </c>
      <c r="M64" s="139">
        <f t="shared" si="93"/>
        <v>70.635000000000005</v>
      </c>
      <c r="N64" s="139">
        <f t="shared" si="93"/>
        <v>70.635000000000005</v>
      </c>
      <c r="O64" s="139">
        <f t="shared" si="93"/>
        <v>70.635000000000005</v>
      </c>
      <c r="P64" s="139">
        <f t="shared" si="93"/>
        <v>70.635000000000005</v>
      </c>
      <c r="Q64" s="139">
        <f t="shared" si="93"/>
        <v>70.635000000000005</v>
      </c>
      <c r="R64" s="139">
        <f t="shared" si="93"/>
        <v>70.635000000000005</v>
      </c>
      <c r="S64" s="139">
        <f t="shared" si="93"/>
        <v>70.635000000000005</v>
      </c>
      <c r="T64" s="139">
        <f t="shared" si="94"/>
        <v>47.09</v>
      </c>
      <c r="U64" s="139">
        <v>0</v>
      </c>
      <c r="V64" s="139">
        <v>0</v>
      </c>
      <c r="W64" s="139">
        <v>0</v>
      </c>
      <c r="X64" s="192" t="s">
        <v>181</v>
      </c>
      <c r="Y64" s="187"/>
      <c r="Z64" s="187"/>
    </row>
    <row r="65" spans="1:26" s="188" customFormat="1" ht="121.5" x14ac:dyDescent="0.3">
      <c r="A65" s="136" t="s">
        <v>307</v>
      </c>
      <c r="B65" s="189" t="s">
        <v>156</v>
      </c>
      <c r="C65" s="139">
        <f t="shared" si="88"/>
        <v>157.94846999999999</v>
      </c>
      <c r="D65" s="139">
        <v>0</v>
      </c>
      <c r="E65" s="139">
        <f t="shared" si="90"/>
        <v>157.94847000000001</v>
      </c>
      <c r="F65" s="139">
        <f t="shared" si="86"/>
        <v>157.94847000000001</v>
      </c>
      <c r="G65" s="139">
        <v>0</v>
      </c>
      <c r="H65" s="139">
        <v>0</v>
      </c>
      <c r="I65" s="139">
        <v>0</v>
      </c>
      <c r="J65" s="139">
        <f t="shared" si="91"/>
        <v>5.2649489999999997</v>
      </c>
      <c r="K65" s="139">
        <f t="shared" si="92"/>
        <v>15.794846999999999</v>
      </c>
      <c r="L65" s="139">
        <f t="shared" si="93"/>
        <v>15.794846999999999</v>
      </c>
      <c r="M65" s="139">
        <f t="shared" si="93"/>
        <v>15.794846999999999</v>
      </c>
      <c r="N65" s="139">
        <f t="shared" si="93"/>
        <v>15.794846999999999</v>
      </c>
      <c r="O65" s="139">
        <f t="shared" si="93"/>
        <v>15.794846999999999</v>
      </c>
      <c r="P65" s="139">
        <f t="shared" si="93"/>
        <v>15.794846999999999</v>
      </c>
      <c r="Q65" s="139">
        <f t="shared" si="93"/>
        <v>15.794846999999999</v>
      </c>
      <c r="R65" s="139">
        <f t="shared" si="93"/>
        <v>15.794846999999999</v>
      </c>
      <c r="S65" s="139">
        <f t="shared" si="93"/>
        <v>15.794846999999999</v>
      </c>
      <c r="T65" s="139">
        <f t="shared" si="94"/>
        <v>10.529897999999999</v>
      </c>
      <c r="U65" s="139">
        <v>0</v>
      </c>
      <c r="V65" s="139">
        <v>0</v>
      </c>
      <c r="W65" s="139">
        <v>0</v>
      </c>
      <c r="X65" s="192" t="s">
        <v>182</v>
      </c>
      <c r="Y65" s="187"/>
      <c r="Z65" s="187"/>
    </row>
    <row r="66" spans="1:26" ht="121.5" x14ac:dyDescent="0.3">
      <c r="A66" s="136" t="s">
        <v>308</v>
      </c>
      <c r="B66" s="189" t="s">
        <v>157</v>
      </c>
      <c r="C66" s="139">
        <f>C39</f>
        <v>1070.9169999999999</v>
      </c>
      <c r="D66" s="139">
        <v>0</v>
      </c>
      <c r="E66" s="139">
        <f t="shared" si="90"/>
        <v>1070.9169999999997</v>
      </c>
      <c r="F66" s="139">
        <f t="shared" si="86"/>
        <v>1070.9169999999997</v>
      </c>
      <c r="G66" s="139">
        <v>0</v>
      </c>
      <c r="H66" s="139">
        <v>0</v>
      </c>
      <c r="I66" s="139">
        <v>0</v>
      </c>
      <c r="J66" s="139">
        <f t="shared" si="91"/>
        <v>35.69723333333333</v>
      </c>
      <c r="K66" s="139">
        <f t="shared" si="92"/>
        <v>107.09169999999999</v>
      </c>
      <c r="L66" s="139">
        <f t="shared" si="93"/>
        <v>107.09169999999999</v>
      </c>
      <c r="M66" s="139">
        <f t="shared" si="93"/>
        <v>107.09169999999999</v>
      </c>
      <c r="N66" s="139">
        <f t="shared" si="93"/>
        <v>107.09169999999999</v>
      </c>
      <c r="O66" s="139">
        <f t="shared" si="93"/>
        <v>107.09169999999999</v>
      </c>
      <c r="P66" s="139">
        <f t="shared" si="93"/>
        <v>107.09169999999999</v>
      </c>
      <c r="Q66" s="139">
        <f t="shared" si="93"/>
        <v>107.09169999999999</v>
      </c>
      <c r="R66" s="139">
        <f t="shared" si="93"/>
        <v>107.09169999999999</v>
      </c>
      <c r="S66" s="139">
        <f t="shared" si="93"/>
        <v>107.09169999999999</v>
      </c>
      <c r="T66" s="139">
        <f t="shared" si="94"/>
        <v>71.394466666666659</v>
      </c>
      <c r="U66" s="139">
        <v>0</v>
      </c>
      <c r="V66" s="139">
        <v>0</v>
      </c>
      <c r="W66" s="139">
        <v>0</v>
      </c>
      <c r="X66" s="192" t="s">
        <v>183</v>
      </c>
    </row>
    <row r="67" spans="1:26" ht="121.5" x14ac:dyDescent="0.3">
      <c r="A67" s="136" t="s">
        <v>309</v>
      </c>
      <c r="B67" s="189" t="s">
        <v>158</v>
      </c>
      <c r="C67" s="139">
        <f>C40</f>
        <v>911.41700000000003</v>
      </c>
      <c r="D67" s="139">
        <v>0</v>
      </c>
      <c r="E67" s="139">
        <f t="shared" si="90"/>
        <v>911.41700000000003</v>
      </c>
      <c r="F67" s="139">
        <f t="shared" si="86"/>
        <v>911.41700000000003</v>
      </c>
      <c r="G67" s="139">
        <v>0</v>
      </c>
      <c r="H67" s="139">
        <v>0</v>
      </c>
      <c r="I67" s="139">
        <v>0</v>
      </c>
      <c r="J67" s="139">
        <f t="shared" si="91"/>
        <v>30.380566666666667</v>
      </c>
      <c r="K67" s="139">
        <f t="shared" si="92"/>
        <v>91.1417</v>
      </c>
      <c r="L67" s="139">
        <f t="shared" si="93"/>
        <v>91.1417</v>
      </c>
      <c r="M67" s="139">
        <f t="shared" si="93"/>
        <v>91.1417</v>
      </c>
      <c r="N67" s="139">
        <f t="shared" si="93"/>
        <v>91.1417</v>
      </c>
      <c r="O67" s="139">
        <f t="shared" si="93"/>
        <v>91.1417</v>
      </c>
      <c r="P67" s="139">
        <f t="shared" si="93"/>
        <v>91.1417</v>
      </c>
      <c r="Q67" s="139">
        <f t="shared" si="93"/>
        <v>91.1417</v>
      </c>
      <c r="R67" s="139">
        <f t="shared" si="93"/>
        <v>91.1417</v>
      </c>
      <c r="S67" s="139">
        <f t="shared" si="93"/>
        <v>91.1417</v>
      </c>
      <c r="T67" s="139">
        <f t="shared" si="94"/>
        <v>60.761133333333333</v>
      </c>
      <c r="U67" s="139">
        <v>0</v>
      </c>
      <c r="V67" s="139">
        <v>0</v>
      </c>
      <c r="W67" s="139">
        <v>0</v>
      </c>
      <c r="X67" s="192" t="s">
        <v>184</v>
      </c>
    </row>
    <row r="68" spans="1:26" ht="121.5" x14ac:dyDescent="0.3">
      <c r="A68" s="136" t="s">
        <v>310</v>
      </c>
      <c r="B68" s="189" t="s">
        <v>159</v>
      </c>
      <c r="C68" s="139">
        <f>C41</f>
        <v>155.03299999999999</v>
      </c>
      <c r="D68" s="139">
        <v>0</v>
      </c>
      <c r="E68" s="139">
        <f t="shared" si="90"/>
        <v>155.03299999999999</v>
      </c>
      <c r="F68" s="139">
        <f t="shared" si="86"/>
        <v>155.03299999999999</v>
      </c>
      <c r="G68" s="139">
        <v>0</v>
      </c>
      <c r="H68" s="139">
        <v>0</v>
      </c>
      <c r="I68" s="139">
        <v>0</v>
      </c>
      <c r="J68" s="139">
        <f t="shared" si="91"/>
        <v>5.1677666666666662</v>
      </c>
      <c r="K68" s="139">
        <f t="shared" si="92"/>
        <v>15.503299999999999</v>
      </c>
      <c r="L68" s="139">
        <f t="shared" si="93"/>
        <v>15.503299999999999</v>
      </c>
      <c r="M68" s="139">
        <f t="shared" si="93"/>
        <v>15.503299999999999</v>
      </c>
      <c r="N68" s="139">
        <f t="shared" si="93"/>
        <v>15.503299999999999</v>
      </c>
      <c r="O68" s="139">
        <f t="shared" si="93"/>
        <v>15.503299999999999</v>
      </c>
      <c r="P68" s="139">
        <f t="shared" si="93"/>
        <v>15.503299999999999</v>
      </c>
      <c r="Q68" s="139">
        <f t="shared" si="93"/>
        <v>15.503299999999999</v>
      </c>
      <c r="R68" s="139">
        <f t="shared" si="93"/>
        <v>15.503299999999999</v>
      </c>
      <c r="S68" s="139">
        <f t="shared" si="93"/>
        <v>15.503299999999999</v>
      </c>
      <c r="T68" s="139">
        <f t="shared" si="94"/>
        <v>10.335533333333332</v>
      </c>
      <c r="U68" s="139">
        <v>0</v>
      </c>
      <c r="V68" s="139">
        <v>0</v>
      </c>
      <c r="W68" s="139">
        <v>0</v>
      </c>
      <c r="X68" s="192" t="s">
        <v>185</v>
      </c>
    </row>
    <row r="69" spans="1:26" ht="121.5" x14ac:dyDescent="0.3">
      <c r="A69" s="136" t="s">
        <v>311</v>
      </c>
      <c r="B69" s="189" t="s">
        <v>160</v>
      </c>
      <c r="C69" s="139">
        <f>C42</f>
        <v>330.392</v>
      </c>
      <c r="D69" s="139">
        <v>0</v>
      </c>
      <c r="E69" s="139">
        <f t="shared" si="90"/>
        <v>330.392</v>
      </c>
      <c r="F69" s="139">
        <f t="shared" si="86"/>
        <v>330.392</v>
      </c>
      <c r="G69" s="139">
        <v>0</v>
      </c>
      <c r="H69" s="139">
        <v>0</v>
      </c>
      <c r="I69" s="139">
        <v>0</v>
      </c>
      <c r="J69" s="139">
        <f t="shared" si="91"/>
        <v>11.013066666666667</v>
      </c>
      <c r="K69" s="139">
        <f t="shared" si="92"/>
        <v>33.039200000000001</v>
      </c>
      <c r="L69" s="139">
        <f t="shared" si="93"/>
        <v>33.039200000000001</v>
      </c>
      <c r="M69" s="139">
        <f t="shared" si="93"/>
        <v>33.039200000000001</v>
      </c>
      <c r="N69" s="139">
        <f t="shared" si="93"/>
        <v>33.039200000000001</v>
      </c>
      <c r="O69" s="139">
        <f t="shared" si="93"/>
        <v>33.039200000000001</v>
      </c>
      <c r="P69" s="139">
        <f t="shared" si="93"/>
        <v>33.039200000000001</v>
      </c>
      <c r="Q69" s="139">
        <f t="shared" si="93"/>
        <v>33.039200000000001</v>
      </c>
      <c r="R69" s="139">
        <f t="shared" si="93"/>
        <v>33.039200000000001</v>
      </c>
      <c r="S69" s="139">
        <f t="shared" si="93"/>
        <v>33.039200000000001</v>
      </c>
      <c r="T69" s="139">
        <f t="shared" si="94"/>
        <v>22.026133333333334</v>
      </c>
      <c r="U69" s="139">
        <v>0</v>
      </c>
      <c r="V69" s="139">
        <v>0</v>
      </c>
      <c r="W69" s="139">
        <v>0</v>
      </c>
      <c r="X69" s="192" t="s">
        <v>186</v>
      </c>
    </row>
    <row r="70" spans="1:26" ht="20.25" hidden="1" customHeight="1" x14ac:dyDescent="0.3">
      <c r="I70" s="175"/>
      <c r="J70" s="175"/>
      <c r="K70" s="175"/>
      <c r="L70" s="175"/>
      <c r="M70" s="175"/>
      <c r="N70" s="175"/>
      <c r="O70" s="175"/>
      <c r="P70" s="175"/>
      <c r="Q70" s="175"/>
      <c r="R70" s="175"/>
      <c r="S70" s="175"/>
      <c r="T70" s="175"/>
      <c r="U70" s="175"/>
      <c r="V70" s="175"/>
      <c r="W70" s="176"/>
      <c r="X70" s="169" t="s">
        <v>398</v>
      </c>
    </row>
    <row r="71" spans="1:26" ht="20.25" hidden="1" customHeight="1" x14ac:dyDescent="0.3">
      <c r="I71" s="175"/>
      <c r="J71" s="175"/>
      <c r="K71" s="175"/>
      <c r="L71" s="175"/>
      <c r="M71" s="175"/>
      <c r="N71" s="175"/>
      <c r="O71" s="175"/>
      <c r="P71" s="175"/>
      <c r="Q71" s="175"/>
      <c r="R71" s="175"/>
      <c r="S71" s="175"/>
      <c r="T71" s="175"/>
      <c r="U71" s="175"/>
      <c r="V71" s="175"/>
      <c r="W71" s="176"/>
      <c r="X71" s="169" t="str">
        <f>X2</f>
        <v>и тарифов Ивановской области от 13.12.2024 № 50/9</v>
      </c>
    </row>
    <row r="72" spans="1:26" ht="20.25" hidden="1" customHeight="1" x14ac:dyDescent="0.3">
      <c r="I72" s="175"/>
      <c r="J72" s="175"/>
      <c r="K72" s="175"/>
      <c r="L72" s="175"/>
      <c r="M72" s="175"/>
      <c r="N72" s="175"/>
      <c r="O72" s="175"/>
      <c r="P72" s="175"/>
      <c r="Q72" s="175"/>
      <c r="R72" s="175"/>
      <c r="S72" s="175"/>
      <c r="T72" s="175"/>
      <c r="U72" s="175"/>
      <c r="V72" s="175"/>
      <c r="W72" s="176"/>
      <c r="X72" s="170" t="s">
        <v>278</v>
      </c>
    </row>
    <row r="73" spans="1:26" ht="33.75" hidden="1" customHeight="1" x14ac:dyDescent="0.3">
      <c r="A73" s="294" t="s">
        <v>50</v>
      </c>
      <c r="B73" s="294" t="s">
        <v>233</v>
      </c>
      <c r="C73" s="287" t="s">
        <v>315</v>
      </c>
      <c r="D73" s="288"/>
      <c r="E73" s="288"/>
      <c r="F73" s="288"/>
      <c r="G73" s="288"/>
      <c r="H73" s="288"/>
      <c r="I73" s="288"/>
      <c r="J73" s="288"/>
      <c r="K73" s="288"/>
      <c r="L73" s="288"/>
      <c r="M73" s="288"/>
      <c r="N73" s="288"/>
      <c r="O73" s="288"/>
      <c r="P73" s="288"/>
      <c r="Q73" s="288"/>
      <c r="R73" s="288"/>
      <c r="S73" s="288"/>
      <c r="T73" s="288"/>
      <c r="U73" s="288"/>
      <c r="V73" s="288"/>
      <c r="W73" s="288"/>
      <c r="X73" s="289" t="s">
        <v>280</v>
      </c>
    </row>
    <row r="74" spans="1:26" ht="39" hidden="1" customHeight="1" x14ac:dyDescent="0.3">
      <c r="A74" s="294"/>
      <c r="B74" s="294"/>
      <c r="C74" s="289" t="s">
        <v>234</v>
      </c>
      <c r="D74" s="292" t="s">
        <v>281</v>
      </c>
      <c r="E74" s="293"/>
      <c r="F74" s="289" t="s">
        <v>234</v>
      </c>
      <c r="G74" s="289">
        <v>2024</v>
      </c>
      <c r="H74" s="289">
        <f>G74+1</f>
        <v>2025</v>
      </c>
      <c r="I74" s="289">
        <f>H74+1</f>
        <v>2026</v>
      </c>
      <c r="J74" s="289">
        <f t="shared" ref="J74" si="95">I74+1</f>
        <v>2027</v>
      </c>
      <c r="K74" s="289">
        <f t="shared" ref="K74" si="96">J74+1</f>
        <v>2028</v>
      </c>
      <c r="L74" s="289">
        <f t="shared" ref="L74" si="97">K74+1</f>
        <v>2029</v>
      </c>
      <c r="M74" s="289">
        <f>L74+1</f>
        <v>2030</v>
      </c>
      <c r="N74" s="289">
        <f>M74+1</f>
        <v>2031</v>
      </c>
      <c r="O74" s="289">
        <f t="shared" ref="O74" si="98">N74+1</f>
        <v>2032</v>
      </c>
      <c r="P74" s="289">
        <f>O74+1</f>
        <v>2033</v>
      </c>
      <c r="Q74" s="289">
        <f>P74+1</f>
        <v>2034</v>
      </c>
      <c r="R74" s="289">
        <f t="shared" ref="R74" si="99">Q74+1</f>
        <v>2035</v>
      </c>
      <c r="S74" s="289">
        <f t="shared" ref="S74" si="100">R74+1</f>
        <v>2036</v>
      </c>
      <c r="T74" s="289">
        <f>S74+1</f>
        <v>2037</v>
      </c>
      <c r="U74" s="289">
        <f>T74+1</f>
        <v>2038</v>
      </c>
      <c r="V74" s="289">
        <f t="shared" ref="V74" si="101">U74+1</f>
        <v>2039</v>
      </c>
      <c r="W74" s="289">
        <f t="shared" ref="W74" si="102">V74+1</f>
        <v>2040</v>
      </c>
      <c r="X74" s="290"/>
    </row>
    <row r="75" spans="1:26" ht="60.75" hidden="1" x14ac:dyDescent="0.3">
      <c r="A75" s="294"/>
      <c r="B75" s="294"/>
      <c r="C75" s="291"/>
      <c r="D75" s="181" t="s">
        <v>213</v>
      </c>
      <c r="E75" s="182" t="s">
        <v>282</v>
      </c>
      <c r="F75" s="291"/>
      <c r="G75" s="291"/>
      <c r="H75" s="291"/>
      <c r="I75" s="291"/>
      <c r="J75" s="291"/>
      <c r="K75" s="291"/>
      <c r="L75" s="291"/>
      <c r="M75" s="291"/>
      <c r="N75" s="291"/>
      <c r="O75" s="291"/>
      <c r="P75" s="291"/>
      <c r="Q75" s="291"/>
      <c r="R75" s="291"/>
      <c r="S75" s="291"/>
      <c r="T75" s="291"/>
      <c r="U75" s="291"/>
      <c r="V75" s="291"/>
      <c r="W75" s="291"/>
      <c r="X75" s="291"/>
    </row>
    <row r="76" spans="1:26" ht="15" hidden="1" customHeight="1" x14ac:dyDescent="0.3">
      <c r="A76" s="181">
        <f>COLUMN()</f>
        <v>1</v>
      </c>
      <c r="B76" s="181">
        <f>COLUMN()</f>
        <v>2</v>
      </c>
      <c r="C76" s="181">
        <f>COLUMN()</f>
        <v>3</v>
      </c>
      <c r="D76" s="181" t="s">
        <v>216</v>
      </c>
      <c r="E76" s="181" t="s">
        <v>217</v>
      </c>
      <c r="F76" s="181">
        <v>4</v>
      </c>
      <c r="G76" s="181">
        <v>5</v>
      </c>
      <c r="H76" s="181">
        <v>6</v>
      </c>
      <c r="I76" s="181">
        <f t="shared" ref="I76" si="103">H76+1</f>
        <v>7</v>
      </c>
      <c r="J76" s="181">
        <f t="shared" ref="J76" si="104">I76+1</f>
        <v>8</v>
      </c>
      <c r="K76" s="181">
        <f t="shared" ref="K76" si="105">J76+1</f>
        <v>9</v>
      </c>
      <c r="L76" s="181">
        <f t="shared" ref="L76" si="106">K76+1</f>
        <v>10</v>
      </c>
      <c r="M76" s="181">
        <f t="shared" ref="M76" si="107">L76+1</f>
        <v>11</v>
      </c>
      <c r="N76" s="181">
        <f t="shared" ref="N76" si="108">M76+1</f>
        <v>12</v>
      </c>
      <c r="O76" s="181">
        <f t="shared" ref="O76" si="109">N76+1</f>
        <v>13</v>
      </c>
      <c r="P76" s="181">
        <f t="shared" ref="P76" si="110">O76+1</f>
        <v>14</v>
      </c>
      <c r="Q76" s="181">
        <f t="shared" ref="Q76" si="111">P76+1</f>
        <v>15</v>
      </c>
      <c r="R76" s="181">
        <f t="shared" ref="R76" si="112">Q76+1</f>
        <v>16</v>
      </c>
      <c r="S76" s="181">
        <f t="shared" ref="S76" si="113">R76+1</f>
        <v>17</v>
      </c>
      <c r="T76" s="181">
        <f t="shared" ref="T76" si="114">S76+1</f>
        <v>18</v>
      </c>
      <c r="U76" s="181">
        <f t="shared" ref="U76" si="115">T76+1</f>
        <v>19</v>
      </c>
      <c r="V76" s="181">
        <f t="shared" ref="V76" si="116">U76+1</f>
        <v>20</v>
      </c>
      <c r="W76" s="181">
        <f t="shared" ref="W76" si="117">V76+1</f>
        <v>21</v>
      </c>
      <c r="X76" s="181">
        <f t="shared" ref="X76" si="118">W76+1</f>
        <v>22</v>
      </c>
    </row>
    <row r="77" spans="1:26" s="194" customFormat="1" ht="32.25" hidden="1" customHeight="1" x14ac:dyDescent="0.3">
      <c r="A77" s="287" t="s">
        <v>246</v>
      </c>
      <c r="B77" s="288"/>
      <c r="C77" s="288"/>
      <c r="D77" s="288"/>
      <c r="E77" s="288"/>
      <c r="F77" s="288"/>
      <c r="G77" s="288"/>
      <c r="H77" s="288"/>
      <c r="I77" s="288"/>
      <c r="J77" s="288"/>
      <c r="K77" s="288"/>
      <c r="L77" s="288"/>
      <c r="M77" s="288"/>
      <c r="N77" s="288"/>
      <c r="O77" s="288"/>
      <c r="P77" s="288"/>
      <c r="Q77" s="288"/>
      <c r="R77" s="288"/>
      <c r="S77" s="288"/>
      <c r="T77" s="288"/>
      <c r="U77" s="288"/>
      <c r="V77" s="288"/>
      <c r="W77" s="288"/>
      <c r="X77" s="288"/>
      <c r="Y77" s="193"/>
      <c r="Z77" s="193"/>
    </row>
    <row r="78" spans="1:26" ht="121.5" x14ac:dyDescent="0.3">
      <c r="A78" s="136" t="s">
        <v>312</v>
      </c>
      <c r="B78" s="189" t="s">
        <v>161</v>
      </c>
      <c r="C78" s="139">
        <f>C43</f>
        <v>341.78300000000002</v>
      </c>
      <c r="D78" s="139">
        <v>0</v>
      </c>
      <c r="E78" s="139">
        <f t="shared" si="90"/>
        <v>341.78300000000002</v>
      </c>
      <c r="F78" s="139">
        <f t="shared" si="86"/>
        <v>341.78300000000002</v>
      </c>
      <c r="G78" s="139">
        <v>0</v>
      </c>
      <c r="H78" s="139">
        <v>0</v>
      </c>
      <c r="I78" s="139">
        <v>0</v>
      </c>
      <c r="J78" s="139">
        <f t="shared" si="91"/>
        <v>11.392766666666667</v>
      </c>
      <c r="K78" s="139">
        <f t="shared" si="92"/>
        <v>34.1783</v>
      </c>
      <c r="L78" s="139">
        <f t="shared" si="93"/>
        <v>34.1783</v>
      </c>
      <c r="M78" s="139">
        <f t="shared" si="93"/>
        <v>34.1783</v>
      </c>
      <c r="N78" s="139">
        <f t="shared" si="93"/>
        <v>34.1783</v>
      </c>
      <c r="O78" s="139">
        <f t="shared" si="93"/>
        <v>34.1783</v>
      </c>
      <c r="P78" s="139">
        <f t="shared" si="93"/>
        <v>34.1783</v>
      </c>
      <c r="Q78" s="139">
        <f t="shared" si="93"/>
        <v>34.1783</v>
      </c>
      <c r="R78" s="139">
        <f t="shared" si="93"/>
        <v>34.1783</v>
      </c>
      <c r="S78" s="139">
        <f t="shared" si="93"/>
        <v>34.1783</v>
      </c>
      <c r="T78" s="139">
        <f t="shared" si="94"/>
        <v>22.785533333333333</v>
      </c>
      <c r="U78" s="139">
        <v>0</v>
      </c>
      <c r="V78" s="139">
        <v>0</v>
      </c>
      <c r="W78" s="139">
        <v>0</v>
      </c>
      <c r="X78" s="192" t="s">
        <v>187</v>
      </c>
    </row>
    <row r="79" spans="1:26" ht="141.75" x14ac:dyDescent="0.3">
      <c r="A79" s="136" t="s">
        <v>313</v>
      </c>
      <c r="B79" s="189" t="s">
        <v>162</v>
      </c>
      <c r="C79" s="139">
        <f>C44</f>
        <v>458.2</v>
      </c>
      <c r="D79" s="139">
        <v>0</v>
      </c>
      <c r="E79" s="139">
        <f t="shared" si="90"/>
        <v>458.2</v>
      </c>
      <c r="F79" s="139">
        <f t="shared" si="86"/>
        <v>458.2</v>
      </c>
      <c r="G79" s="139">
        <v>0</v>
      </c>
      <c r="H79" s="139">
        <v>0</v>
      </c>
      <c r="I79" s="139">
        <v>0</v>
      </c>
      <c r="J79" s="139">
        <f t="shared" si="91"/>
        <v>15.273333333333333</v>
      </c>
      <c r="K79" s="139">
        <f t="shared" si="92"/>
        <v>45.82</v>
      </c>
      <c r="L79" s="139">
        <f t="shared" si="93"/>
        <v>45.82</v>
      </c>
      <c r="M79" s="139">
        <f t="shared" si="93"/>
        <v>45.82</v>
      </c>
      <c r="N79" s="139">
        <f t="shared" si="93"/>
        <v>45.82</v>
      </c>
      <c r="O79" s="139">
        <f t="shared" si="93"/>
        <v>45.82</v>
      </c>
      <c r="P79" s="139">
        <f t="shared" si="93"/>
        <v>45.82</v>
      </c>
      <c r="Q79" s="139">
        <f t="shared" si="93"/>
        <v>45.82</v>
      </c>
      <c r="R79" s="139">
        <f t="shared" si="93"/>
        <v>45.82</v>
      </c>
      <c r="S79" s="139">
        <f t="shared" si="93"/>
        <v>45.82</v>
      </c>
      <c r="T79" s="139">
        <f t="shared" si="94"/>
        <v>30.546666666666667</v>
      </c>
      <c r="U79" s="139">
        <v>0</v>
      </c>
      <c r="V79" s="139">
        <v>0</v>
      </c>
      <c r="W79" s="139">
        <v>0</v>
      </c>
      <c r="X79" s="192" t="s">
        <v>188</v>
      </c>
    </row>
    <row r="80" spans="1:26" ht="101.25" x14ac:dyDescent="0.3">
      <c r="A80" s="136" t="s">
        <v>314</v>
      </c>
      <c r="B80" s="189" t="s">
        <v>189</v>
      </c>
      <c r="C80" s="139">
        <f>C45</f>
        <v>3109.2460000000001</v>
      </c>
      <c r="D80" s="139">
        <f>F80</f>
        <v>3109.246000000001</v>
      </c>
      <c r="E80" s="139"/>
      <c r="F80" s="139">
        <f t="shared" si="86"/>
        <v>3109.246000000001</v>
      </c>
      <c r="G80" s="139">
        <v>0</v>
      </c>
      <c r="H80" s="139">
        <v>0</v>
      </c>
      <c r="I80" s="139">
        <v>0</v>
      </c>
      <c r="J80" s="139">
        <v>0</v>
      </c>
      <c r="K80" s="139">
        <v>0</v>
      </c>
      <c r="L80" s="139">
        <f>C80/12/10*4</f>
        <v>103.64153333333334</v>
      </c>
      <c r="M80" s="139">
        <f>L80*3</f>
        <v>310.92460000000005</v>
      </c>
      <c r="N80" s="139">
        <f t="shared" si="93"/>
        <v>310.92460000000005</v>
      </c>
      <c r="O80" s="139">
        <f t="shared" si="93"/>
        <v>310.92460000000005</v>
      </c>
      <c r="P80" s="139">
        <f t="shared" si="93"/>
        <v>310.92460000000005</v>
      </c>
      <c r="Q80" s="139">
        <f t="shared" si="93"/>
        <v>310.92460000000005</v>
      </c>
      <c r="R80" s="139">
        <f t="shared" si="93"/>
        <v>310.92460000000005</v>
      </c>
      <c r="S80" s="139">
        <f t="shared" si="93"/>
        <v>310.92460000000005</v>
      </c>
      <c r="T80" s="139">
        <f t="shared" si="93"/>
        <v>310.92460000000005</v>
      </c>
      <c r="U80" s="139">
        <f t="shared" si="93"/>
        <v>310.92460000000005</v>
      </c>
      <c r="V80" s="139">
        <f>U80/12*8</f>
        <v>207.28306666666671</v>
      </c>
      <c r="W80" s="139">
        <v>0</v>
      </c>
      <c r="X80" s="192" t="s">
        <v>131</v>
      </c>
    </row>
    <row r="81" spans="1:25" x14ac:dyDescent="0.3">
      <c r="A81" s="135" t="s">
        <v>284</v>
      </c>
      <c r="B81" s="198" t="s">
        <v>301</v>
      </c>
      <c r="C81" s="139">
        <f>D81+E81</f>
        <v>0</v>
      </c>
      <c r="D81" s="139">
        <v>0</v>
      </c>
      <c r="E81" s="139">
        <v>0</v>
      </c>
      <c r="F81" s="139">
        <f t="shared" si="86"/>
        <v>0</v>
      </c>
      <c r="G81" s="139">
        <v>0</v>
      </c>
      <c r="H81" s="139">
        <v>0</v>
      </c>
      <c r="I81" s="139">
        <v>0</v>
      </c>
      <c r="J81" s="139">
        <v>0</v>
      </c>
      <c r="K81" s="139">
        <v>0</v>
      </c>
      <c r="L81" s="139">
        <v>0</v>
      </c>
      <c r="M81" s="139">
        <v>0</v>
      </c>
      <c r="N81" s="139">
        <v>0</v>
      </c>
      <c r="O81" s="139">
        <v>0</v>
      </c>
      <c r="P81" s="139">
        <v>0</v>
      </c>
      <c r="Q81" s="139">
        <v>0</v>
      </c>
      <c r="R81" s="139">
        <v>0</v>
      </c>
      <c r="S81" s="139">
        <v>0</v>
      </c>
      <c r="T81" s="139">
        <v>0</v>
      </c>
      <c r="U81" s="139">
        <v>0</v>
      </c>
      <c r="V81" s="139">
        <v>0</v>
      </c>
      <c r="W81" s="139">
        <v>0</v>
      </c>
      <c r="X81" s="139"/>
    </row>
    <row r="82" spans="1:25" ht="40.5" x14ac:dyDescent="0.3">
      <c r="A82" s="135" t="s">
        <v>285</v>
      </c>
      <c r="B82" s="198" t="s">
        <v>295</v>
      </c>
      <c r="C82" s="139">
        <f>SUM(G82:W82)</f>
        <v>0</v>
      </c>
      <c r="D82" s="139">
        <v>0</v>
      </c>
      <c r="E82" s="139">
        <f>SUM(G82:W82)</f>
        <v>0</v>
      </c>
      <c r="F82" s="139">
        <f>SUM(G82:W82)</f>
        <v>0</v>
      </c>
      <c r="G82" s="139">
        <v>0</v>
      </c>
      <c r="H82" s="139">
        <v>0</v>
      </c>
      <c r="I82" s="139">
        <v>0</v>
      </c>
      <c r="J82" s="139">
        <v>0</v>
      </c>
      <c r="K82" s="139">
        <v>0</v>
      </c>
      <c r="L82" s="139">
        <v>0</v>
      </c>
      <c r="M82" s="139">
        <v>0</v>
      </c>
      <c r="N82" s="139">
        <v>0</v>
      </c>
      <c r="O82" s="139">
        <v>0</v>
      </c>
      <c r="P82" s="139">
        <v>0</v>
      </c>
      <c r="Q82" s="139">
        <v>0</v>
      </c>
      <c r="R82" s="139">
        <v>0</v>
      </c>
      <c r="S82" s="139">
        <v>0</v>
      </c>
      <c r="T82" s="139">
        <v>0</v>
      </c>
      <c r="U82" s="139">
        <v>0</v>
      </c>
      <c r="V82" s="139">
        <v>0</v>
      </c>
      <c r="W82" s="139">
        <v>0</v>
      </c>
      <c r="X82" s="139"/>
    </row>
    <row r="83" spans="1:25" ht="40.5" x14ac:dyDescent="0.3">
      <c r="A83" s="135" t="s">
        <v>290</v>
      </c>
      <c r="B83" s="198" t="s">
        <v>296</v>
      </c>
      <c r="C83" s="139">
        <f>SUM(G83:W83)</f>
        <v>0</v>
      </c>
      <c r="D83" s="139">
        <v>0</v>
      </c>
      <c r="E83" s="139">
        <f>SUM(G83:W83)</f>
        <v>0</v>
      </c>
      <c r="F83" s="139">
        <f>SUM(G83:W83)</f>
        <v>0</v>
      </c>
      <c r="G83" s="139">
        <v>0</v>
      </c>
      <c r="H83" s="139">
        <v>0</v>
      </c>
      <c r="I83" s="139">
        <v>0</v>
      </c>
      <c r="J83" s="139">
        <v>0</v>
      </c>
      <c r="K83" s="139">
        <v>0</v>
      </c>
      <c r="L83" s="139">
        <v>0</v>
      </c>
      <c r="M83" s="139">
        <v>0</v>
      </c>
      <c r="N83" s="139">
        <v>0</v>
      </c>
      <c r="O83" s="139">
        <v>0</v>
      </c>
      <c r="P83" s="139">
        <v>0</v>
      </c>
      <c r="Q83" s="139">
        <v>0</v>
      </c>
      <c r="R83" s="139">
        <v>0</v>
      </c>
      <c r="S83" s="139">
        <v>0</v>
      </c>
      <c r="T83" s="139">
        <v>0</v>
      </c>
      <c r="U83" s="139">
        <v>0</v>
      </c>
      <c r="V83" s="139">
        <v>0</v>
      </c>
      <c r="W83" s="139">
        <v>0</v>
      </c>
      <c r="X83" s="139"/>
    </row>
    <row r="84" spans="1:25" x14ac:dyDescent="0.3">
      <c r="A84" s="196" t="s">
        <v>214</v>
      </c>
      <c r="B84" s="197" t="s">
        <v>297</v>
      </c>
      <c r="C84" s="163">
        <f>SUM(G84:W84)</f>
        <v>0</v>
      </c>
      <c r="D84" s="163">
        <v>0</v>
      </c>
      <c r="E84" s="163">
        <f>SUM(G84:W84)</f>
        <v>0</v>
      </c>
      <c r="F84" s="163">
        <v>0</v>
      </c>
      <c r="G84" s="163">
        <v>0</v>
      </c>
      <c r="H84" s="163">
        <v>0</v>
      </c>
      <c r="I84" s="163">
        <v>0</v>
      </c>
      <c r="J84" s="163">
        <v>0</v>
      </c>
      <c r="K84" s="163">
        <v>0</v>
      </c>
      <c r="L84" s="163">
        <v>0</v>
      </c>
      <c r="M84" s="163">
        <v>0</v>
      </c>
      <c r="N84" s="163">
        <v>0</v>
      </c>
      <c r="O84" s="163">
        <v>0</v>
      </c>
      <c r="P84" s="163">
        <v>0</v>
      </c>
      <c r="Q84" s="163">
        <v>0</v>
      </c>
      <c r="R84" s="163">
        <v>0</v>
      </c>
      <c r="S84" s="163">
        <v>0</v>
      </c>
      <c r="T84" s="163">
        <v>0</v>
      </c>
      <c r="U84" s="163">
        <v>0</v>
      </c>
      <c r="V84" s="163">
        <v>0</v>
      </c>
      <c r="W84" s="163">
        <v>0</v>
      </c>
      <c r="X84" s="163"/>
    </row>
    <row r="85" spans="1:25" x14ac:dyDescent="0.3">
      <c r="A85" s="196" t="s">
        <v>215</v>
      </c>
      <c r="B85" s="197" t="s">
        <v>298</v>
      </c>
      <c r="C85" s="163">
        <f>SUM(G85:W85)</f>
        <v>0</v>
      </c>
      <c r="D85" s="163">
        <v>0</v>
      </c>
      <c r="E85" s="163">
        <f>SUM(G85:W85)</f>
        <v>0</v>
      </c>
      <c r="F85" s="163">
        <v>0</v>
      </c>
      <c r="G85" s="163">
        <v>0</v>
      </c>
      <c r="H85" s="163">
        <v>0</v>
      </c>
      <c r="I85" s="163">
        <v>0</v>
      </c>
      <c r="J85" s="163">
        <v>0</v>
      </c>
      <c r="K85" s="163">
        <v>0</v>
      </c>
      <c r="L85" s="163">
        <v>0</v>
      </c>
      <c r="M85" s="163">
        <v>0</v>
      </c>
      <c r="N85" s="163">
        <v>0</v>
      </c>
      <c r="O85" s="163">
        <v>0</v>
      </c>
      <c r="P85" s="163">
        <v>0</v>
      </c>
      <c r="Q85" s="163">
        <v>0</v>
      </c>
      <c r="R85" s="163">
        <v>0</v>
      </c>
      <c r="S85" s="163">
        <v>0</v>
      </c>
      <c r="T85" s="163">
        <v>0</v>
      </c>
      <c r="U85" s="163">
        <v>0</v>
      </c>
      <c r="V85" s="163">
        <v>0</v>
      </c>
      <c r="W85" s="163">
        <v>0</v>
      </c>
      <c r="X85" s="163"/>
    </row>
    <row r="86" spans="1:25" ht="27.75" customHeight="1" x14ac:dyDescent="0.3">
      <c r="A86" s="135"/>
      <c r="B86" s="197" t="s">
        <v>148</v>
      </c>
      <c r="C86" s="163">
        <f>SUM(G86:W86)</f>
        <v>10871.002470000003</v>
      </c>
      <c r="D86" s="163">
        <f t="shared" ref="D86:I86" si="119">D58+D84+D85</f>
        <v>3109.246000000001</v>
      </c>
      <c r="E86" s="163">
        <f t="shared" si="119"/>
        <v>7761.7564700000003</v>
      </c>
      <c r="F86" s="163">
        <f t="shared" si="119"/>
        <v>10871.002470000003</v>
      </c>
      <c r="G86" s="163">
        <f t="shared" si="119"/>
        <v>0</v>
      </c>
      <c r="H86" s="163">
        <f t="shared" si="119"/>
        <v>0</v>
      </c>
      <c r="I86" s="163">
        <f t="shared" si="119"/>
        <v>0</v>
      </c>
      <c r="J86" s="163">
        <f t="shared" ref="J86:O86" si="120">J58+J84+J85</f>
        <v>258.72521566666683</v>
      </c>
      <c r="K86" s="163">
        <f t="shared" si="120"/>
        <v>776.17564700000003</v>
      </c>
      <c r="L86" s="163">
        <f t="shared" si="120"/>
        <v>879.81718033333345</v>
      </c>
      <c r="M86" s="163">
        <f t="shared" si="120"/>
        <v>1087.1002470000003</v>
      </c>
      <c r="N86" s="163">
        <f t="shared" si="120"/>
        <v>1087.1002470000003</v>
      </c>
      <c r="O86" s="163">
        <f t="shared" si="120"/>
        <v>1087.1002470000003</v>
      </c>
      <c r="P86" s="163">
        <f t="shared" ref="P86:W86" si="121">P58+P84+P85</f>
        <v>1087.1002470000003</v>
      </c>
      <c r="Q86" s="163">
        <f t="shared" si="121"/>
        <v>1087.1002470000003</v>
      </c>
      <c r="R86" s="163">
        <f t="shared" si="121"/>
        <v>1087.1002470000003</v>
      </c>
      <c r="S86" s="163">
        <f t="shared" si="121"/>
        <v>1087.1002470000003</v>
      </c>
      <c r="T86" s="163">
        <f t="shared" si="121"/>
        <v>828.37503133333303</v>
      </c>
      <c r="U86" s="163">
        <f t="shared" si="121"/>
        <v>310.92460000000028</v>
      </c>
      <c r="V86" s="163">
        <f t="shared" si="121"/>
        <v>207.28306666666685</v>
      </c>
      <c r="W86" s="163">
        <f t="shared" si="121"/>
        <v>0</v>
      </c>
      <c r="X86" s="163"/>
      <c r="Y86" s="216"/>
    </row>
    <row r="88" spans="1:25" s="129" customFormat="1" ht="21" x14ac:dyDescent="0.35">
      <c r="A88" s="297"/>
      <c r="B88" s="297"/>
      <c r="C88" s="298"/>
      <c r="D88" s="298"/>
      <c r="E88" s="298"/>
      <c r="F88" s="298"/>
      <c r="G88" s="299"/>
      <c r="H88" s="299"/>
      <c r="I88" s="299"/>
      <c r="J88" s="299"/>
      <c r="K88" s="299"/>
      <c r="L88" s="299"/>
      <c r="M88" s="299"/>
    </row>
    <row r="89" spans="1:25" s="129" customFormat="1" ht="15.75" customHeight="1" x14ac:dyDescent="0.3"/>
    <row r="98" spans="6:23" x14ac:dyDescent="0.3">
      <c r="F98" s="199"/>
      <c r="G98" s="199"/>
      <c r="H98" s="199"/>
      <c r="I98" s="199"/>
      <c r="J98" s="199"/>
      <c r="K98" s="199"/>
      <c r="L98" s="199"/>
      <c r="M98" s="199"/>
      <c r="N98" s="199"/>
      <c r="O98" s="199"/>
      <c r="P98" s="199"/>
      <c r="Q98" s="199"/>
      <c r="R98" s="199"/>
      <c r="S98" s="199"/>
      <c r="T98" s="199"/>
      <c r="U98" s="199"/>
      <c r="V98" s="199"/>
      <c r="W98" s="199"/>
    </row>
    <row r="99" spans="6:23" x14ac:dyDescent="0.3">
      <c r="F99" s="199"/>
      <c r="G99" s="199"/>
      <c r="H99" s="199"/>
      <c r="I99" s="199"/>
      <c r="J99" s="199"/>
      <c r="K99" s="199"/>
      <c r="L99" s="199"/>
      <c r="M99" s="199"/>
      <c r="N99" s="199"/>
      <c r="O99" s="199"/>
      <c r="P99" s="199"/>
      <c r="Q99" s="199"/>
      <c r="R99" s="199"/>
      <c r="S99" s="199"/>
      <c r="T99" s="199"/>
      <c r="U99" s="199"/>
      <c r="V99" s="199"/>
      <c r="W99" s="199"/>
    </row>
    <row r="100" spans="6:23" x14ac:dyDescent="0.3">
      <c r="F100" s="199"/>
      <c r="G100" s="199"/>
      <c r="H100" s="199"/>
      <c r="I100" s="199"/>
      <c r="J100" s="199"/>
      <c r="K100" s="199"/>
      <c r="L100" s="199"/>
      <c r="M100" s="199"/>
      <c r="N100" s="199"/>
      <c r="O100" s="199"/>
      <c r="P100" s="199"/>
      <c r="Q100" s="199"/>
      <c r="R100" s="199"/>
      <c r="S100" s="199"/>
      <c r="T100" s="199"/>
      <c r="U100" s="199"/>
      <c r="V100" s="199"/>
      <c r="W100" s="199"/>
    </row>
    <row r="101" spans="6:23" x14ac:dyDescent="0.3">
      <c r="F101" s="199"/>
      <c r="G101" s="199"/>
      <c r="H101" s="199"/>
      <c r="I101" s="199"/>
      <c r="J101" s="199"/>
      <c r="K101" s="199"/>
      <c r="L101" s="199"/>
      <c r="M101" s="199"/>
      <c r="N101" s="199"/>
      <c r="O101" s="199"/>
      <c r="P101" s="199"/>
      <c r="Q101" s="199"/>
      <c r="R101" s="199"/>
      <c r="S101" s="199"/>
      <c r="T101" s="199"/>
      <c r="U101" s="199"/>
      <c r="V101" s="199"/>
      <c r="W101" s="199"/>
    </row>
    <row r="102" spans="6:23" x14ac:dyDescent="0.3">
      <c r="F102" s="199"/>
      <c r="G102" s="199"/>
      <c r="H102" s="199"/>
      <c r="I102" s="199"/>
      <c r="J102" s="199"/>
      <c r="K102" s="199"/>
      <c r="L102" s="199"/>
      <c r="M102" s="199"/>
      <c r="N102" s="199"/>
      <c r="O102" s="199"/>
      <c r="P102" s="199"/>
      <c r="Q102" s="199"/>
      <c r="R102" s="199"/>
      <c r="S102" s="199"/>
      <c r="T102" s="199"/>
      <c r="U102" s="199"/>
      <c r="V102" s="199"/>
      <c r="W102" s="199"/>
    </row>
    <row r="103" spans="6:23" x14ac:dyDescent="0.3">
      <c r="F103" s="200"/>
      <c r="G103" s="200"/>
      <c r="H103" s="200"/>
      <c r="I103" s="200"/>
      <c r="J103" s="200"/>
      <c r="K103" s="200"/>
      <c r="L103" s="200"/>
      <c r="M103" s="200"/>
      <c r="N103" s="200"/>
      <c r="O103" s="200"/>
      <c r="P103" s="200"/>
      <c r="Q103" s="200"/>
      <c r="R103" s="200"/>
      <c r="S103" s="200"/>
      <c r="T103" s="200"/>
      <c r="U103" s="200"/>
      <c r="V103" s="200"/>
      <c r="W103" s="200"/>
    </row>
    <row r="104" spans="6:23" x14ac:dyDescent="0.3">
      <c r="F104" s="188"/>
      <c r="G104" s="188"/>
      <c r="H104" s="188"/>
      <c r="I104" s="188"/>
      <c r="J104" s="188"/>
      <c r="K104" s="188"/>
      <c r="L104" s="188"/>
      <c r="M104" s="188"/>
      <c r="N104" s="188"/>
      <c r="O104" s="188"/>
      <c r="P104" s="188"/>
      <c r="Q104" s="188"/>
      <c r="R104" s="188"/>
      <c r="S104" s="188"/>
      <c r="T104" s="188"/>
      <c r="U104" s="188"/>
      <c r="V104" s="188"/>
      <c r="W104" s="188"/>
    </row>
    <row r="105" spans="6:23" x14ac:dyDescent="0.3">
      <c r="F105" s="199"/>
      <c r="G105" s="199"/>
      <c r="H105" s="199"/>
      <c r="I105" s="199"/>
      <c r="J105" s="199"/>
      <c r="K105" s="199"/>
      <c r="L105" s="199"/>
      <c r="M105" s="199"/>
      <c r="N105" s="199"/>
      <c r="O105" s="199"/>
      <c r="P105" s="199"/>
      <c r="Q105" s="199"/>
      <c r="R105" s="199"/>
      <c r="S105" s="199"/>
      <c r="T105" s="199"/>
      <c r="U105" s="199"/>
      <c r="V105" s="199"/>
      <c r="W105" s="199"/>
    </row>
    <row r="106" spans="6:23" x14ac:dyDescent="0.3">
      <c r="F106" s="199"/>
      <c r="G106" s="199"/>
      <c r="H106" s="199"/>
      <c r="I106" s="199"/>
      <c r="J106" s="199"/>
      <c r="K106" s="199"/>
      <c r="L106" s="199"/>
      <c r="M106" s="199"/>
      <c r="N106" s="199"/>
      <c r="O106" s="199"/>
      <c r="P106" s="199"/>
      <c r="Q106" s="199"/>
      <c r="R106" s="199"/>
      <c r="S106" s="199"/>
      <c r="T106" s="199"/>
      <c r="U106" s="199"/>
      <c r="V106" s="199"/>
      <c r="W106" s="199"/>
    </row>
    <row r="107" spans="6:23" x14ac:dyDescent="0.3">
      <c r="F107" s="199"/>
      <c r="G107" s="199"/>
      <c r="H107" s="199"/>
      <c r="I107" s="199"/>
      <c r="J107" s="199"/>
      <c r="K107" s="199"/>
      <c r="L107" s="199"/>
      <c r="M107" s="199"/>
      <c r="N107" s="199"/>
      <c r="O107" s="199"/>
      <c r="P107" s="199"/>
      <c r="Q107" s="199"/>
      <c r="R107" s="199"/>
      <c r="S107" s="199"/>
      <c r="T107" s="199"/>
      <c r="U107" s="199"/>
      <c r="V107" s="199"/>
      <c r="W107" s="199"/>
    </row>
    <row r="108" spans="6:23" x14ac:dyDescent="0.3">
      <c r="F108" s="199"/>
      <c r="G108" s="199"/>
      <c r="H108" s="199"/>
      <c r="I108" s="199"/>
      <c r="J108" s="199"/>
      <c r="K108" s="199"/>
      <c r="L108" s="199"/>
      <c r="M108" s="199"/>
      <c r="N108" s="199"/>
      <c r="O108" s="199"/>
      <c r="P108" s="199"/>
      <c r="Q108" s="199"/>
      <c r="R108" s="199"/>
      <c r="S108" s="199"/>
      <c r="T108" s="199"/>
      <c r="U108" s="199"/>
      <c r="V108" s="199"/>
      <c r="W108" s="199"/>
    </row>
    <row r="109" spans="6:23" x14ac:dyDescent="0.3">
      <c r="F109" s="199"/>
      <c r="G109" s="199"/>
      <c r="H109" s="199"/>
      <c r="I109" s="199"/>
      <c r="J109" s="199"/>
      <c r="K109" s="199"/>
      <c r="L109" s="199"/>
      <c r="M109" s="199"/>
      <c r="N109" s="199"/>
      <c r="O109" s="199"/>
      <c r="P109" s="199"/>
      <c r="Q109" s="199"/>
      <c r="R109" s="199"/>
      <c r="S109" s="199"/>
      <c r="T109" s="199"/>
      <c r="U109" s="199"/>
      <c r="V109" s="199"/>
      <c r="W109" s="199"/>
    </row>
    <row r="110" spans="6:23" x14ac:dyDescent="0.3">
      <c r="F110" s="199"/>
      <c r="G110" s="199"/>
      <c r="H110" s="199"/>
      <c r="I110" s="199"/>
      <c r="J110" s="199"/>
      <c r="K110" s="199"/>
      <c r="L110" s="199"/>
      <c r="M110" s="199"/>
      <c r="N110" s="199"/>
      <c r="O110" s="199"/>
      <c r="P110" s="199"/>
      <c r="Q110" s="199"/>
      <c r="R110" s="199"/>
      <c r="S110" s="199"/>
      <c r="T110" s="199"/>
      <c r="U110" s="199"/>
      <c r="V110" s="199"/>
      <c r="W110" s="199"/>
    </row>
    <row r="111" spans="6:23" x14ac:dyDescent="0.3">
      <c r="F111" s="199"/>
      <c r="G111" s="199"/>
      <c r="H111" s="199"/>
      <c r="I111" s="199"/>
      <c r="J111" s="199"/>
      <c r="K111" s="199"/>
      <c r="L111" s="199"/>
      <c r="M111" s="199"/>
      <c r="N111" s="199"/>
      <c r="O111" s="199"/>
      <c r="P111" s="199"/>
      <c r="Q111" s="199"/>
      <c r="R111" s="199"/>
      <c r="S111" s="199"/>
      <c r="T111" s="199"/>
      <c r="U111" s="199"/>
      <c r="V111" s="199"/>
      <c r="W111" s="199"/>
    </row>
    <row r="112" spans="6:23" x14ac:dyDescent="0.3">
      <c r="F112" s="199"/>
      <c r="G112" s="199"/>
      <c r="H112" s="199"/>
      <c r="I112" s="199"/>
      <c r="J112" s="199"/>
      <c r="K112" s="199"/>
      <c r="L112" s="199"/>
      <c r="M112" s="199"/>
      <c r="N112" s="199"/>
      <c r="O112" s="199"/>
      <c r="P112" s="199"/>
      <c r="Q112" s="199"/>
      <c r="R112" s="199"/>
      <c r="S112" s="199"/>
      <c r="T112" s="199"/>
      <c r="U112" s="199"/>
      <c r="V112" s="199"/>
      <c r="W112" s="199"/>
    </row>
    <row r="113" spans="6:23" x14ac:dyDescent="0.3">
      <c r="F113" s="199"/>
      <c r="G113" s="199"/>
      <c r="H113" s="199"/>
      <c r="I113" s="199"/>
      <c r="J113" s="199"/>
      <c r="K113" s="199"/>
      <c r="L113" s="199"/>
      <c r="M113" s="199"/>
      <c r="N113" s="199"/>
      <c r="O113" s="199"/>
      <c r="P113" s="199"/>
      <c r="Q113" s="199"/>
      <c r="R113" s="199"/>
      <c r="S113" s="199"/>
      <c r="T113" s="199"/>
      <c r="U113" s="199"/>
      <c r="V113" s="199"/>
      <c r="W113" s="199"/>
    </row>
    <row r="114" spans="6:23" x14ac:dyDescent="0.3"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</row>
    <row r="115" spans="6:23" x14ac:dyDescent="0.3"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</row>
    <row r="116" spans="6:23" x14ac:dyDescent="0.3"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</row>
    <row r="117" spans="6:23" x14ac:dyDescent="0.3"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</row>
    <row r="119" spans="6:23" x14ac:dyDescent="0.3">
      <c r="F119" s="200"/>
      <c r="G119" s="200"/>
      <c r="H119" s="200"/>
      <c r="I119" s="200"/>
      <c r="J119" s="200"/>
      <c r="K119" s="200"/>
      <c r="L119" s="200"/>
      <c r="M119" s="200"/>
      <c r="N119" s="200"/>
      <c r="O119" s="200"/>
      <c r="P119" s="200"/>
      <c r="Q119" s="200"/>
      <c r="R119" s="200"/>
      <c r="S119" s="200"/>
      <c r="T119" s="200"/>
      <c r="U119" s="200"/>
      <c r="V119" s="200"/>
      <c r="W119" s="200"/>
    </row>
    <row r="121" spans="6:23" x14ac:dyDescent="0.3">
      <c r="F121" s="188"/>
      <c r="G121" s="188"/>
      <c r="H121" s="188"/>
      <c r="I121" s="188"/>
      <c r="J121" s="188"/>
      <c r="K121" s="188"/>
      <c r="L121" s="188"/>
      <c r="M121" s="188"/>
      <c r="N121" s="188"/>
      <c r="O121" s="188"/>
      <c r="P121" s="188"/>
      <c r="Q121" s="188"/>
      <c r="R121" s="188"/>
      <c r="S121" s="188"/>
      <c r="T121" s="188"/>
      <c r="U121" s="188"/>
      <c r="V121" s="188"/>
      <c r="W121" s="188"/>
    </row>
    <row r="122" spans="6:23" x14ac:dyDescent="0.3">
      <c r="F122" s="199"/>
      <c r="G122" s="199"/>
      <c r="H122" s="199"/>
      <c r="I122" s="199"/>
      <c r="J122" s="199"/>
      <c r="K122" s="199"/>
      <c r="L122" s="199"/>
      <c r="M122" s="199"/>
      <c r="N122" s="199"/>
      <c r="O122" s="199"/>
      <c r="P122" s="199"/>
      <c r="Q122" s="199"/>
      <c r="R122" s="199"/>
      <c r="S122" s="199"/>
      <c r="T122" s="199"/>
      <c r="U122" s="199"/>
      <c r="V122" s="199"/>
      <c r="W122" s="199"/>
    </row>
    <row r="123" spans="6:23" x14ac:dyDescent="0.3">
      <c r="F123" s="199"/>
      <c r="G123" s="199"/>
      <c r="H123" s="199"/>
      <c r="I123" s="199"/>
      <c r="J123" s="199"/>
      <c r="K123" s="199"/>
      <c r="L123" s="199"/>
      <c r="M123" s="199"/>
      <c r="N123" s="199"/>
      <c r="O123" s="199"/>
      <c r="P123" s="199"/>
      <c r="Q123" s="199"/>
      <c r="R123" s="199"/>
      <c r="S123" s="199"/>
      <c r="T123" s="199"/>
      <c r="U123" s="199"/>
      <c r="V123" s="199"/>
      <c r="W123" s="199"/>
    </row>
    <row r="124" spans="6:23" x14ac:dyDescent="0.3">
      <c r="F124" s="199"/>
      <c r="G124" s="199"/>
      <c r="H124" s="199"/>
      <c r="I124" s="199"/>
      <c r="J124" s="199"/>
      <c r="K124" s="199"/>
      <c r="L124" s="199"/>
      <c r="M124" s="199"/>
      <c r="N124" s="199"/>
      <c r="O124" s="199"/>
      <c r="P124" s="199"/>
      <c r="Q124" s="199"/>
      <c r="R124" s="199"/>
      <c r="S124" s="199"/>
      <c r="T124" s="199"/>
      <c r="U124" s="199"/>
      <c r="V124" s="199"/>
      <c r="W124" s="199"/>
    </row>
    <row r="125" spans="6:23" x14ac:dyDescent="0.3">
      <c r="F125" s="199"/>
      <c r="G125" s="199"/>
      <c r="H125" s="199"/>
      <c r="I125" s="199"/>
      <c r="J125" s="199"/>
      <c r="K125" s="199"/>
      <c r="L125" s="199"/>
      <c r="M125" s="199"/>
      <c r="N125" s="199"/>
      <c r="O125" s="199"/>
      <c r="P125" s="199"/>
      <c r="Q125" s="199"/>
      <c r="R125" s="199"/>
      <c r="S125" s="199"/>
      <c r="T125" s="199"/>
      <c r="U125" s="199"/>
      <c r="V125" s="199"/>
      <c r="W125" s="199"/>
    </row>
    <row r="126" spans="6:23" x14ac:dyDescent="0.3">
      <c r="F126" s="199"/>
      <c r="G126" s="199"/>
      <c r="H126" s="199"/>
      <c r="I126" s="199"/>
      <c r="J126" s="199"/>
      <c r="K126" s="199"/>
      <c r="L126" s="199"/>
      <c r="M126" s="199"/>
      <c r="N126" s="199"/>
      <c r="O126" s="199"/>
      <c r="P126" s="199"/>
      <c r="Q126" s="199"/>
      <c r="R126" s="199"/>
      <c r="S126" s="199"/>
      <c r="T126" s="199"/>
      <c r="U126" s="199"/>
      <c r="V126" s="199"/>
      <c r="W126" s="199"/>
    </row>
    <row r="127" spans="6:23" x14ac:dyDescent="0.3">
      <c r="F127" s="199"/>
      <c r="G127" s="199"/>
      <c r="H127" s="199"/>
      <c r="I127" s="199"/>
      <c r="J127" s="199"/>
      <c r="K127" s="199"/>
      <c r="L127" s="199"/>
      <c r="M127" s="199"/>
      <c r="N127" s="199"/>
      <c r="O127" s="199"/>
      <c r="P127" s="199"/>
      <c r="Q127" s="199"/>
      <c r="R127" s="199"/>
      <c r="S127" s="199"/>
      <c r="T127" s="199"/>
      <c r="U127" s="199"/>
      <c r="V127" s="199"/>
      <c r="W127" s="199"/>
    </row>
    <row r="128" spans="6:23" x14ac:dyDescent="0.3">
      <c r="F128" s="199"/>
      <c r="G128" s="199"/>
      <c r="H128" s="199"/>
      <c r="I128" s="199"/>
      <c r="J128" s="199"/>
      <c r="K128" s="199"/>
      <c r="L128" s="199"/>
      <c r="M128" s="199"/>
      <c r="N128" s="199"/>
      <c r="O128" s="199"/>
      <c r="P128" s="199"/>
      <c r="Q128" s="199"/>
      <c r="R128" s="199"/>
      <c r="S128" s="199"/>
      <c r="T128" s="199"/>
      <c r="U128" s="199"/>
      <c r="V128" s="199"/>
      <c r="W128" s="199"/>
    </row>
    <row r="129" spans="6:23" x14ac:dyDescent="0.3">
      <c r="F129" s="199"/>
      <c r="G129" s="199"/>
      <c r="H129" s="199"/>
      <c r="I129" s="199"/>
      <c r="J129" s="199"/>
      <c r="K129" s="199"/>
      <c r="L129" s="199"/>
      <c r="M129" s="199"/>
      <c r="N129" s="199"/>
      <c r="O129" s="199"/>
      <c r="P129" s="199"/>
      <c r="Q129" s="199"/>
      <c r="R129" s="199"/>
      <c r="S129" s="199"/>
      <c r="T129" s="199"/>
      <c r="U129" s="199"/>
      <c r="V129" s="199"/>
      <c r="W129" s="199"/>
    </row>
    <row r="130" spans="6:23" x14ac:dyDescent="0.3">
      <c r="F130" s="199"/>
      <c r="G130" s="199"/>
      <c r="H130" s="199"/>
      <c r="I130" s="199"/>
      <c r="J130" s="199"/>
      <c r="K130" s="199"/>
      <c r="L130" s="199"/>
      <c r="M130" s="199"/>
      <c r="N130" s="199"/>
      <c r="O130" s="199"/>
      <c r="P130" s="199"/>
      <c r="Q130" s="199"/>
      <c r="R130" s="199"/>
      <c r="S130" s="199"/>
      <c r="T130" s="199"/>
      <c r="U130" s="199"/>
      <c r="V130" s="199"/>
      <c r="W130" s="199"/>
    </row>
    <row r="131" spans="6:23" x14ac:dyDescent="0.3">
      <c r="F131" s="199"/>
      <c r="G131" s="199"/>
      <c r="H131" s="199"/>
      <c r="I131" s="199"/>
      <c r="J131" s="199"/>
      <c r="K131" s="199"/>
      <c r="L131" s="199"/>
      <c r="M131" s="199"/>
      <c r="N131" s="199"/>
      <c r="O131" s="199"/>
      <c r="P131" s="199"/>
      <c r="Q131" s="199"/>
      <c r="R131" s="199"/>
      <c r="S131" s="199"/>
      <c r="T131" s="199"/>
      <c r="U131" s="199"/>
      <c r="V131" s="199"/>
      <c r="W131" s="199"/>
    </row>
    <row r="132" spans="6:23" x14ac:dyDescent="0.3">
      <c r="F132" s="199"/>
      <c r="G132" s="199"/>
      <c r="H132" s="199"/>
      <c r="I132" s="199"/>
      <c r="J132" s="199"/>
      <c r="K132" s="199"/>
      <c r="L132" s="199"/>
      <c r="M132" s="199"/>
      <c r="N132" s="199"/>
      <c r="O132" s="199"/>
      <c r="P132" s="199"/>
      <c r="Q132" s="199"/>
      <c r="R132" s="199"/>
      <c r="S132" s="199"/>
      <c r="T132" s="199"/>
      <c r="U132" s="199"/>
      <c r="V132" s="199"/>
      <c r="W132" s="199"/>
    </row>
    <row r="133" spans="6:23" x14ac:dyDescent="0.3">
      <c r="F133" s="199"/>
      <c r="G133" s="199"/>
      <c r="H133" s="199"/>
      <c r="I133" s="199"/>
      <c r="J133" s="199"/>
      <c r="K133" s="199"/>
      <c r="L133" s="199"/>
      <c r="M133" s="199"/>
      <c r="N133" s="199"/>
      <c r="O133" s="199"/>
      <c r="P133" s="199"/>
      <c r="Q133" s="199"/>
      <c r="R133" s="199"/>
      <c r="S133" s="199"/>
      <c r="T133" s="199"/>
      <c r="U133" s="199"/>
      <c r="V133" s="199"/>
      <c r="W133" s="199"/>
    </row>
    <row r="134" spans="6:23" x14ac:dyDescent="0.3">
      <c r="F134" s="199"/>
      <c r="G134" s="199"/>
      <c r="H134" s="199"/>
      <c r="I134" s="199"/>
      <c r="J134" s="199"/>
      <c r="K134" s="199"/>
      <c r="L134" s="199"/>
      <c r="M134" s="199"/>
      <c r="N134" s="199"/>
      <c r="O134" s="199"/>
      <c r="P134" s="199"/>
      <c r="Q134" s="199"/>
      <c r="R134" s="199"/>
      <c r="S134" s="199"/>
      <c r="T134" s="199"/>
      <c r="U134" s="199"/>
      <c r="V134" s="199"/>
      <c r="W134" s="199"/>
    </row>
    <row r="136" spans="6:23" x14ac:dyDescent="0.3">
      <c r="F136" s="200"/>
      <c r="G136" s="200"/>
      <c r="H136" s="200"/>
      <c r="I136" s="200"/>
      <c r="J136" s="200"/>
      <c r="K136" s="200"/>
      <c r="L136" s="200"/>
      <c r="M136" s="200"/>
      <c r="N136" s="200"/>
      <c r="O136" s="200"/>
      <c r="P136" s="200"/>
      <c r="Q136" s="200"/>
      <c r="R136" s="200"/>
      <c r="S136" s="200"/>
      <c r="T136" s="200"/>
      <c r="U136" s="200"/>
      <c r="V136" s="200"/>
      <c r="W136" s="200"/>
    </row>
    <row r="137" spans="6:23" x14ac:dyDescent="0.3">
      <c r="F137" s="188"/>
      <c r="G137" s="188"/>
      <c r="H137" s="188"/>
      <c r="I137" s="188"/>
      <c r="J137" s="188"/>
      <c r="K137" s="188"/>
      <c r="L137" s="188"/>
      <c r="M137" s="188"/>
      <c r="N137" s="188"/>
      <c r="O137" s="188"/>
      <c r="P137" s="188"/>
      <c r="Q137" s="188"/>
      <c r="R137" s="188"/>
      <c r="S137" s="188"/>
      <c r="T137" s="188"/>
      <c r="U137" s="188"/>
      <c r="V137" s="188"/>
      <c r="W137" s="188"/>
    </row>
    <row r="138" spans="6:23" x14ac:dyDescent="0.3">
      <c r="F138" s="201"/>
      <c r="G138" s="201"/>
      <c r="H138" s="201"/>
      <c r="I138" s="201"/>
      <c r="J138" s="201"/>
      <c r="K138" s="201"/>
      <c r="L138" s="201"/>
      <c r="M138" s="201"/>
      <c r="N138" s="201"/>
      <c r="O138" s="201"/>
      <c r="P138" s="201"/>
      <c r="Q138" s="201"/>
      <c r="R138" s="201"/>
      <c r="S138" s="201"/>
      <c r="T138" s="201"/>
      <c r="U138" s="201"/>
      <c r="V138" s="201"/>
      <c r="W138" s="201"/>
    </row>
  </sheetData>
  <mergeCells count="104">
    <mergeCell ref="X8:X10"/>
    <mergeCell ref="C9:C10"/>
    <mergeCell ref="D9:E9"/>
    <mergeCell ref="F9:F10"/>
    <mergeCell ref="G9:G10"/>
    <mergeCell ref="H9:H10"/>
    <mergeCell ref="I9:I10"/>
    <mergeCell ref="J9:J10"/>
    <mergeCell ref="A88:M88"/>
    <mergeCell ref="W9:W10"/>
    <mergeCell ref="A12:X12"/>
    <mergeCell ref="K9:K10"/>
    <mergeCell ref="L9:L10"/>
    <mergeCell ref="M9:M10"/>
    <mergeCell ref="N9:N10"/>
    <mergeCell ref="O9:O10"/>
    <mergeCell ref="P9:P10"/>
    <mergeCell ref="Q9:Q10"/>
    <mergeCell ref="R9:R10"/>
    <mergeCell ref="S9:S10"/>
    <mergeCell ref="T9:T10"/>
    <mergeCell ref="U9:U10"/>
    <mergeCell ref="V9:V10"/>
    <mergeCell ref="X34:X36"/>
    <mergeCell ref="U35:U36"/>
    <mergeCell ref="V35:V36"/>
    <mergeCell ref="A8:A10"/>
    <mergeCell ref="B8:B10"/>
    <mergeCell ref="C8:W8"/>
    <mergeCell ref="C35:C36"/>
    <mergeCell ref="D35:E35"/>
    <mergeCell ref="F35:F36"/>
    <mergeCell ref="G35:G36"/>
    <mergeCell ref="H35:H36"/>
    <mergeCell ref="I35:I36"/>
    <mergeCell ref="J35:J36"/>
    <mergeCell ref="K35:K36"/>
    <mergeCell ref="W35:W36"/>
    <mergeCell ref="P35:P36"/>
    <mergeCell ref="Q35:Q36"/>
    <mergeCell ref="R35:R36"/>
    <mergeCell ref="C54:C55"/>
    <mergeCell ref="D54:E54"/>
    <mergeCell ref="F54:F55"/>
    <mergeCell ref="G54:G55"/>
    <mergeCell ref="H54:H55"/>
    <mergeCell ref="I54:I55"/>
    <mergeCell ref="J54:J55"/>
    <mergeCell ref="K54:K55"/>
    <mergeCell ref="A4:P4"/>
    <mergeCell ref="A5:P5"/>
    <mergeCell ref="A6:P6"/>
    <mergeCell ref="L35:L36"/>
    <mergeCell ref="M35:M36"/>
    <mergeCell ref="N35:N36"/>
    <mergeCell ref="O35:O36"/>
    <mergeCell ref="S35:S36"/>
    <mergeCell ref="T35:T36"/>
    <mergeCell ref="A34:A36"/>
    <mergeCell ref="B34:B36"/>
    <mergeCell ref="C34:W34"/>
    <mergeCell ref="V54:V55"/>
    <mergeCell ref="W54:W55"/>
    <mergeCell ref="W74:W75"/>
    <mergeCell ref="Q54:Q55"/>
    <mergeCell ref="R54:R55"/>
    <mergeCell ref="S54:S55"/>
    <mergeCell ref="T54:T55"/>
    <mergeCell ref="U54:U55"/>
    <mergeCell ref="L54:L55"/>
    <mergeCell ref="M54:M55"/>
    <mergeCell ref="N54:N55"/>
    <mergeCell ref="O54:O55"/>
    <mergeCell ref="P54:P55"/>
    <mergeCell ref="A57:X57"/>
    <mergeCell ref="A38:X38"/>
    <mergeCell ref="A53:A55"/>
    <mergeCell ref="B53:B55"/>
    <mergeCell ref="C53:W53"/>
    <mergeCell ref="X53:X55"/>
    <mergeCell ref="A77:X77"/>
    <mergeCell ref="X73:X75"/>
    <mergeCell ref="C74:C75"/>
    <mergeCell ref="D74:E74"/>
    <mergeCell ref="F74:F75"/>
    <mergeCell ref="G74:G75"/>
    <mergeCell ref="H74:H75"/>
    <mergeCell ref="I74:I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A73:A75"/>
    <mergeCell ref="B73:B75"/>
    <mergeCell ref="C73:W73"/>
    <mergeCell ref="S74:S75"/>
    <mergeCell ref="T74:T75"/>
    <mergeCell ref="U74:U75"/>
    <mergeCell ref="V74:V75"/>
  </mergeCells>
  <pageMargins left="0.31496062992125984" right="0.31496062992125984" top="0.15748031496062992" bottom="0.19685039370078741" header="0" footer="0"/>
  <pageSetup paperSize="9" scale="44" fitToHeight="5" orientation="landscape" verticalDpi="0" r:id="rId1"/>
  <rowBreaks count="3" manualBreakCount="3">
    <brk id="27" max="23" man="1"/>
    <brk id="45" max="23" man="1"/>
    <brk id="66" max="23" man="1"/>
  </rowBreaks>
  <colBreaks count="1" manualBreakCount="1">
    <brk id="16" max="8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I22"/>
  <sheetViews>
    <sheetView workbookViewId="0">
      <selection activeCell="I3" sqref="I3:I14"/>
    </sheetView>
  </sheetViews>
  <sheetFormatPr defaultRowHeight="15" x14ac:dyDescent="0.25"/>
  <sheetData>
    <row r="3" spans="3:9" x14ac:dyDescent="0.25">
      <c r="C3" s="11">
        <v>108</v>
      </c>
      <c r="D3" s="11">
        <v>4.4999999999999997E-3</v>
      </c>
      <c r="E3">
        <f>C3/1000</f>
        <v>0.108</v>
      </c>
      <c r="F3">
        <f>E3*D3*1000</f>
        <v>0.48599999999999993</v>
      </c>
      <c r="G3">
        <f t="shared" ref="G3:G15" si="0">F3*2</f>
        <v>0.97199999999999986</v>
      </c>
      <c r="H3">
        <v>1.0840000000000001</v>
      </c>
      <c r="I3">
        <f>H3/133.357*56.49</f>
        <v>0.45918219516035907</v>
      </c>
    </row>
    <row r="4" spans="3:9" x14ac:dyDescent="0.25">
      <c r="C4" s="11">
        <v>108</v>
      </c>
      <c r="D4" s="11">
        <v>7.7600000000000002E-2</v>
      </c>
      <c r="E4">
        <f t="shared" ref="E4:E14" si="1">C4/1000</f>
        <v>0.108</v>
      </c>
      <c r="F4">
        <f t="shared" ref="F4:F15" si="2">E4*D4*1000</f>
        <v>8.3808000000000007</v>
      </c>
      <c r="G4">
        <f t="shared" si="0"/>
        <v>16.761600000000001</v>
      </c>
      <c r="H4">
        <v>18.693000000000001</v>
      </c>
      <c r="I4">
        <f t="shared" ref="I4:I14" si="3">H4/133.357*56.49</f>
        <v>7.9183512676499923</v>
      </c>
    </row>
    <row r="5" spans="3:9" x14ac:dyDescent="0.25">
      <c r="C5" s="11">
        <v>108</v>
      </c>
      <c r="D5" s="11">
        <v>0.06</v>
      </c>
      <c r="E5">
        <f t="shared" si="1"/>
        <v>0.108</v>
      </c>
      <c r="F5">
        <f t="shared" si="2"/>
        <v>6.4799999999999995</v>
      </c>
      <c r="G5">
        <f t="shared" si="0"/>
        <v>12.959999999999999</v>
      </c>
      <c r="H5">
        <v>27.234999999999999</v>
      </c>
      <c r="I5">
        <f t="shared" si="3"/>
        <v>11.536740853498504</v>
      </c>
    </row>
    <row r="6" spans="3:9" x14ac:dyDescent="0.25">
      <c r="C6" s="11">
        <v>108</v>
      </c>
      <c r="D6" s="11">
        <v>1.72E-2</v>
      </c>
      <c r="E6">
        <f t="shared" si="1"/>
        <v>0.108</v>
      </c>
      <c r="F6">
        <f t="shared" si="2"/>
        <v>1.8576000000000001</v>
      </c>
      <c r="G6">
        <f t="shared" si="0"/>
        <v>3.7152000000000003</v>
      </c>
      <c r="H6">
        <v>7.8070000000000004</v>
      </c>
      <c r="I6">
        <f t="shared" si="3"/>
        <v>3.3070437247388593</v>
      </c>
    </row>
    <row r="7" spans="3:9" x14ac:dyDescent="0.25">
      <c r="C7" s="11">
        <v>108</v>
      </c>
      <c r="D7" s="11">
        <v>3.1E-2</v>
      </c>
      <c r="E7">
        <f t="shared" si="1"/>
        <v>0.108</v>
      </c>
      <c r="F7">
        <f t="shared" si="2"/>
        <v>3.3479999999999999</v>
      </c>
      <c r="G7">
        <f t="shared" si="0"/>
        <v>6.6959999999999997</v>
      </c>
      <c r="H7">
        <v>14.07</v>
      </c>
      <c r="I7">
        <f t="shared" si="3"/>
        <v>5.9600493412419295</v>
      </c>
    </row>
    <row r="8" spans="3:9" x14ac:dyDescent="0.25">
      <c r="C8" s="11">
        <v>57</v>
      </c>
      <c r="D8" s="11">
        <v>1.0999999999999999E-2</v>
      </c>
      <c r="E8">
        <f t="shared" si="1"/>
        <v>5.7000000000000002E-2</v>
      </c>
      <c r="F8">
        <f t="shared" si="2"/>
        <v>0.627</v>
      </c>
      <c r="G8">
        <f t="shared" si="0"/>
        <v>1.254</v>
      </c>
      <c r="H8">
        <v>3.3820000000000001</v>
      </c>
      <c r="I8">
        <f t="shared" si="3"/>
        <v>1.4326145609154377</v>
      </c>
    </row>
    <row r="9" spans="3:9" x14ac:dyDescent="0.25">
      <c r="C9" s="11">
        <v>108</v>
      </c>
      <c r="D9" s="11">
        <v>4.7E-2</v>
      </c>
      <c r="E9">
        <f t="shared" si="1"/>
        <v>0.108</v>
      </c>
      <c r="F9">
        <f t="shared" si="2"/>
        <v>5.0759999999999996</v>
      </c>
      <c r="G9">
        <f t="shared" si="0"/>
        <v>10.151999999999999</v>
      </c>
      <c r="H9">
        <v>21.335999999999999</v>
      </c>
      <c r="I9">
        <f t="shared" si="3"/>
        <v>9.0379255682116426</v>
      </c>
    </row>
    <row r="10" spans="3:9" x14ac:dyDescent="0.25">
      <c r="C10" s="11">
        <v>108</v>
      </c>
      <c r="D10" s="11">
        <v>0.04</v>
      </c>
      <c r="E10">
        <f t="shared" si="1"/>
        <v>0.108</v>
      </c>
      <c r="F10">
        <f t="shared" si="2"/>
        <v>4.32</v>
      </c>
      <c r="G10">
        <f t="shared" si="0"/>
        <v>8.64</v>
      </c>
      <c r="H10">
        <v>18.155000000000001</v>
      </c>
      <c r="I10">
        <f t="shared" si="3"/>
        <v>7.6904545693139479</v>
      </c>
    </row>
    <row r="11" spans="3:9" x14ac:dyDescent="0.25">
      <c r="C11" s="11">
        <v>89</v>
      </c>
      <c r="D11" s="11">
        <v>7.0000000000000001E-3</v>
      </c>
      <c r="E11">
        <f t="shared" si="1"/>
        <v>8.8999999999999996E-2</v>
      </c>
      <c r="F11">
        <f t="shared" si="2"/>
        <v>0.623</v>
      </c>
      <c r="G11">
        <f t="shared" si="0"/>
        <v>1.246</v>
      </c>
      <c r="H11">
        <v>2.8220000000000001</v>
      </c>
      <c r="I11">
        <f t="shared" si="3"/>
        <v>1.1953986667366543</v>
      </c>
    </row>
    <row r="12" spans="3:9" x14ac:dyDescent="0.25">
      <c r="C12" s="11">
        <v>108</v>
      </c>
      <c r="D12" s="11">
        <v>1.4500000000000001E-2</v>
      </c>
      <c r="E12">
        <f t="shared" si="1"/>
        <v>0.108</v>
      </c>
      <c r="F12">
        <f t="shared" si="2"/>
        <v>1.5660000000000001</v>
      </c>
      <c r="G12">
        <f t="shared" si="0"/>
        <v>3.1320000000000001</v>
      </c>
      <c r="H12">
        <v>6.5789999999999997</v>
      </c>
      <c r="I12">
        <f t="shared" si="3"/>
        <v>2.7868631567896696</v>
      </c>
    </row>
    <row r="13" spans="3:9" x14ac:dyDescent="0.25">
      <c r="C13" s="11">
        <v>108</v>
      </c>
      <c r="D13" s="11">
        <v>1.4999999999999999E-2</v>
      </c>
      <c r="E13">
        <f t="shared" si="1"/>
        <v>0.108</v>
      </c>
      <c r="F13">
        <f t="shared" si="2"/>
        <v>1.6199999999999999</v>
      </c>
      <c r="G13">
        <f t="shared" si="0"/>
        <v>3.2399999999999998</v>
      </c>
      <c r="H13">
        <v>6.8070000000000004</v>
      </c>
      <c r="I13">
        <f t="shared" si="3"/>
        <v>2.8834439137053178</v>
      </c>
    </row>
    <row r="14" spans="3:9" x14ac:dyDescent="0.25">
      <c r="C14" s="11">
        <v>108</v>
      </c>
      <c r="D14" s="11">
        <v>1.17E-2</v>
      </c>
      <c r="E14">
        <f t="shared" si="1"/>
        <v>0.108</v>
      </c>
      <c r="F14">
        <f t="shared" si="2"/>
        <v>1.2635999999999998</v>
      </c>
      <c r="G14">
        <f t="shared" si="0"/>
        <v>2.5271999999999997</v>
      </c>
      <c r="H14">
        <v>5.3869999999999996</v>
      </c>
      <c r="I14">
        <f t="shared" si="3"/>
        <v>2.2819321820376883</v>
      </c>
    </row>
    <row r="15" spans="3:9" x14ac:dyDescent="0.25">
      <c r="C15" s="11">
        <v>57</v>
      </c>
      <c r="D15" s="11">
        <v>0.3105</v>
      </c>
      <c r="E15">
        <f t="shared" ref="E15" si="4">C15/1000</f>
        <v>5.7000000000000002E-2</v>
      </c>
      <c r="F15">
        <f t="shared" si="2"/>
        <v>17.698499999999999</v>
      </c>
      <c r="G15">
        <f t="shared" si="0"/>
        <v>35.396999999999998</v>
      </c>
    </row>
    <row r="16" spans="3:9" x14ac:dyDescent="0.25">
      <c r="D16">
        <f>SUM(D3:D15)</f>
        <v>0.64700000000000002</v>
      </c>
      <c r="F16">
        <f>SUM(F3:F15)</f>
        <v>53.346499999999992</v>
      </c>
      <c r="G16">
        <f>SUM(G3:G15)</f>
        <v>106.69299999999998</v>
      </c>
      <c r="H16">
        <f>SUM(H3:H15)</f>
        <v>133.357</v>
      </c>
      <c r="I16">
        <f>SUM(I3:I15)</f>
        <v>56.490000000000009</v>
      </c>
    </row>
    <row r="17" spans="3:9" x14ac:dyDescent="0.25">
      <c r="H17">
        <f>H16/212.7</f>
        <v>0.62697226140103435</v>
      </c>
      <c r="I17">
        <f>90.1*H17</f>
        <v>56.490200752233193</v>
      </c>
    </row>
    <row r="19" spans="3:9" x14ac:dyDescent="0.25">
      <c r="D19">
        <f>647*0.1</f>
        <v>64.7</v>
      </c>
    </row>
    <row r="21" spans="3:9" x14ac:dyDescent="0.25">
      <c r="C21">
        <f>'№3 ИП-ТС'!F19/G16</f>
        <v>1.9935703373229736</v>
      </c>
    </row>
    <row r="22" spans="3:9" x14ac:dyDescent="0.25">
      <c r="C22">
        <f>90.1/G16</f>
        <v>0.84447901924212465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F8"/>
  <sheetViews>
    <sheetView workbookViewId="0">
      <selection activeCell="E7" sqref="E7:F7"/>
    </sheetView>
  </sheetViews>
  <sheetFormatPr defaultColWidth="27" defaultRowHeight="15" x14ac:dyDescent="0.25"/>
  <sheetData>
    <row r="2" spans="2:6" ht="15.75" thickBot="1" x14ac:dyDescent="0.3"/>
    <row r="3" spans="2:6" ht="39" thickBot="1" x14ac:dyDescent="0.3">
      <c r="B3" s="18" t="s">
        <v>1</v>
      </c>
      <c r="C3" s="19" t="s">
        <v>221</v>
      </c>
      <c r="D3" s="19" t="s">
        <v>21</v>
      </c>
      <c r="E3" s="20" t="s">
        <v>222</v>
      </c>
      <c r="F3" s="20" t="s">
        <v>223</v>
      </c>
    </row>
    <row r="4" spans="2:6" ht="15.75" thickBot="1" x14ac:dyDescent="0.3">
      <c r="B4" s="21">
        <v>1</v>
      </c>
      <c r="C4" s="22">
        <v>2</v>
      </c>
      <c r="D4" s="22">
        <v>3</v>
      </c>
      <c r="E4" s="23">
        <v>4</v>
      </c>
      <c r="F4" s="22">
        <v>5</v>
      </c>
    </row>
    <row r="5" spans="2:6" ht="30.75" thickBot="1" x14ac:dyDescent="0.3">
      <c r="B5" s="24" t="s">
        <v>27</v>
      </c>
      <c r="C5" s="25" t="s">
        <v>224</v>
      </c>
      <c r="D5" s="25" t="s">
        <v>3</v>
      </c>
      <c r="E5" s="26">
        <f>E8+E6</f>
        <v>907.83999999999992</v>
      </c>
      <c r="F5" s="26">
        <f>F8+F6</f>
        <v>853.94</v>
      </c>
    </row>
    <row r="6" spans="2:6" ht="30.75" thickBot="1" x14ac:dyDescent="0.3">
      <c r="B6" s="24" t="s">
        <v>214</v>
      </c>
      <c r="C6" s="25" t="s">
        <v>225</v>
      </c>
      <c r="D6" s="25" t="s">
        <v>3</v>
      </c>
      <c r="E6" s="26">
        <v>212.7</v>
      </c>
      <c r="F6" s="26">
        <v>158.80000000000001</v>
      </c>
    </row>
    <row r="7" spans="2:6" ht="30.75" thickBot="1" x14ac:dyDescent="0.3">
      <c r="B7" s="24">
        <v>3</v>
      </c>
      <c r="C7" s="25" t="s">
        <v>226</v>
      </c>
      <c r="D7" s="25" t="s">
        <v>12</v>
      </c>
      <c r="E7" s="27">
        <f>E6/E5*100</f>
        <v>23.429238632358125</v>
      </c>
      <c r="F7" s="27">
        <f>F6/F5*100</f>
        <v>18.596154296554793</v>
      </c>
    </row>
    <row r="8" spans="2:6" ht="30.75" thickBot="1" x14ac:dyDescent="0.3">
      <c r="B8" s="24">
        <v>4</v>
      </c>
      <c r="C8" s="25" t="s">
        <v>227</v>
      </c>
      <c r="D8" s="25" t="s">
        <v>3</v>
      </c>
      <c r="E8" s="28">
        <v>695.14</v>
      </c>
      <c r="F8" s="26">
        <v>695.14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7</vt:i4>
      </vt:variant>
    </vt:vector>
  </HeadingPairs>
  <TitlesOfParts>
    <vt:vector size="16" baseType="lpstr">
      <vt:lpstr>ам мо</vt:lpstr>
      <vt:lpstr>проценты</vt:lpstr>
      <vt:lpstr>№1 ИП-ТС</vt:lpstr>
      <vt:lpstr>№2 ИП ТС</vt:lpstr>
      <vt:lpstr>№3 ИП-ТС</vt:lpstr>
      <vt:lpstr>№ 4 ИП ТС</vt:lpstr>
      <vt:lpstr>№5 ИП-ТС</vt:lpstr>
      <vt:lpstr>Лист2</vt:lpstr>
      <vt:lpstr>Лист3</vt:lpstr>
      <vt:lpstr>'№ 4 ИП ТС'!Заголовки_для_печати</vt:lpstr>
      <vt:lpstr>'№2 ИП ТС'!Заголовки_для_печати</vt:lpstr>
      <vt:lpstr>'№5 ИП-ТС'!Заголовки_для_печати</vt:lpstr>
      <vt:lpstr>'№ 4 ИП ТС'!Область_печати</vt:lpstr>
      <vt:lpstr>'№1 ИП-ТС'!Область_печати</vt:lpstr>
      <vt:lpstr>'№3 ИП-ТС'!Область_печати</vt:lpstr>
      <vt:lpstr>'№5 ИП-ТС'!Область_печати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Бондарева Г.В.</cp:lastModifiedBy>
  <cp:lastPrinted>2024-12-17T13:28:48Z</cp:lastPrinted>
  <dcterms:created xsi:type="dcterms:W3CDTF">2024-11-15T11:57:21Z</dcterms:created>
  <dcterms:modified xsi:type="dcterms:W3CDTF">2024-12-18T12:13:17Z</dcterms:modified>
</cp:coreProperties>
</file>