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Det-505-05\внешнийдиск\01 ПРАВЛЕНИЯ\ПОСТАНОВЛЕНИЯ\2024\41 13.12.2024\"/>
    </mc:Choice>
  </mc:AlternateContent>
  <xr:revisionPtr revIDLastSave="0" documentId="13_ncr:1_{E4D1D92F-46B8-4C41-8A4B-DA84D5F73759}" xr6:coauthVersionLast="45" xr6:coauthVersionMax="45" xr10:uidLastSave="{00000000-0000-0000-0000-000000000000}"/>
  <bookViews>
    <workbookView xWindow="-20520" yWindow="-120" windowWidth="20640" windowHeight="11160" tabRatio="596" firstSheet="3" activeTab="4" xr2:uid="{00000000-000D-0000-FFFF-FFFF00000000}"/>
  </bookViews>
  <sheets>
    <sheet name="ам мо" sheetId="17" r:id="rId1"/>
    <sheet name="проценты" sheetId="16" r:id="rId2"/>
    <sheet name="Лист4" sheetId="15" state="hidden" r:id="rId3"/>
    <sheet name="№1 ИП-ТС" sheetId="7" r:id="rId4"/>
    <sheet name="№2 ИП ТС" sheetId="18" r:id="rId5"/>
    <sheet name="№3 ИП-ТС" sheetId="9" r:id="rId6"/>
    <sheet name="№ 4 ИП ТС" sheetId="19" r:id="rId7"/>
    <sheet name="№5 ИП-ТС" sheetId="11" r:id="rId8"/>
    <sheet name="Лист5" sheetId="22" state="hidden" r:id="rId9"/>
    <sheet name="сети мат хар" sheetId="13" state="hidden" r:id="rId10"/>
    <sheet name="Лист1" sheetId="20" state="hidden" r:id="rId11"/>
    <sheet name="Лист3" sheetId="14" state="hidden" r:id="rId12"/>
    <sheet name="Лист2" sheetId="21" state="hidden" r:id="rId13"/>
    <sheet name="% 1 кот" sheetId="23" state="hidden" r:id="rId14"/>
    <sheet name="% 2 кот" sheetId="24" state="hidden" r:id="rId15"/>
    <sheet name="% 3 кот" sheetId="25" state="hidden" r:id="rId16"/>
    <sheet name="% 4 кот " sheetId="26" state="hidden" r:id="rId17"/>
  </sheets>
  <externalReferences>
    <externalReference r:id="rId18"/>
    <externalReference r:id="rId19"/>
    <externalReference r:id="rId20"/>
  </externalReferences>
  <definedNames>
    <definedName name="_xlnm.Print_Titles" localSheetId="6">'№ 4 ИП ТС'!$A:$A,'№ 4 ИП ТС'!$15:$15</definedName>
    <definedName name="_xlnm.Print_Titles" localSheetId="4">'№2 ИП ТС'!$A:$A,'№2 ИП ТС'!$15:$15</definedName>
    <definedName name="_xlnm.Print_Titles" localSheetId="7">'№5 ИП-ТС'!$A:$A,'№5 ИП-ТС'!$12:$12</definedName>
    <definedName name="_xlnm.Print_Area" localSheetId="6">'№ 4 ИП ТС'!$A$1:$CH$27</definedName>
    <definedName name="_xlnm.Print_Area" localSheetId="3">'№1 ИП-ТС'!$A$1:$B$22</definedName>
    <definedName name="_xlnm.Print_Area" localSheetId="5">'№3 ИП-ТС'!$A$1:$L$42</definedName>
    <definedName name="_xlnm.Print_Area" localSheetId="7">'№5 ИП-ТС'!$A$1:$V$208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" i="11" l="1"/>
  <c r="BX1" i="19"/>
  <c r="AO1" i="18"/>
  <c r="AD1" i="18"/>
  <c r="L2" i="9" l="1"/>
  <c r="CH3" i="19" s="1"/>
  <c r="O2" i="18"/>
  <c r="AD2" i="18" s="1"/>
  <c r="V2" i="11" l="1"/>
  <c r="AP2" i="19"/>
  <c r="BX2" i="19" s="1"/>
  <c r="N2" i="11" s="1"/>
  <c r="AO2" i="18"/>
  <c r="C8" i="23" l="1"/>
  <c r="C355" i="23" l="1"/>
  <c r="J7" i="26"/>
  <c r="C7" i="26"/>
  <c r="AD346" i="26"/>
  <c r="AC346" i="26"/>
  <c r="R346" i="26"/>
  <c r="Q346" i="26"/>
  <c r="AA331" i="26"/>
  <c r="AA330" i="26"/>
  <c r="AH325" i="26"/>
  <c r="AH324" i="26"/>
  <c r="AH323" i="26"/>
  <c r="AH322" i="26"/>
  <c r="AH321" i="26"/>
  <c r="AH320" i="26"/>
  <c r="AH319" i="26"/>
  <c r="AH318" i="26"/>
  <c r="AH317" i="26"/>
  <c r="AH316" i="26"/>
  <c r="AH315" i="26"/>
  <c r="AH314" i="26"/>
  <c r="AH313" i="26"/>
  <c r="AH312" i="26"/>
  <c r="AH311" i="26"/>
  <c r="AH310" i="26"/>
  <c r="AJ309" i="26"/>
  <c r="AJ297" i="26"/>
  <c r="AJ285" i="26"/>
  <c r="AB285" i="26"/>
  <c r="AA285" i="26"/>
  <c r="T285" i="26"/>
  <c r="AA284" i="26"/>
  <c r="T284" i="26"/>
  <c r="AA283" i="26"/>
  <c r="T283" i="26"/>
  <c r="AA282" i="26"/>
  <c r="T282" i="26"/>
  <c r="AA281" i="26"/>
  <c r="T281" i="26"/>
  <c r="AA280" i="26"/>
  <c r="T280" i="26"/>
  <c r="AA279" i="26"/>
  <c r="T279" i="26"/>
  <c r="AA278" i="26"/>
  <c r="T278" i="26"/>
  <c r="AA277" i="26"/>
  <c r="T277" i="26"/>
  <c r="AA276" i="26"/>
  <c r="T276" i="26"/>
  <c r="AA275" i="26"/>
  <c r="T275" i="26"/>
  <c r="AA274" i="26"/>
  <c r="T274" i="26"/>
  <c r="O274" i="26"/>
  <c r="AJ273" i="26"/>
  <c r="AJ261" i="26"/>
  <c r="AJ249" i="26"/>
  <c r="AJ237" i="26"/>
  <c r="AJ225" i="26"/>
  <c r="AJ213" i="26"/>
  <c r="AJ201" i="26"/>
  <c r="T201" i="26"/>
  <c r="T200" i="26"/>
  <c r="T199" i="26"/>
  <c r="T198" i="26"/>
  <c r="T197" i="26"/>
  <c r="T196" i="26"/>
  <c r="T195" i="26"/>
  <c r="T194" i="26"/>
  <c r="T193" i="26"/>
  <c r="T192" i="26"/>
  <c r="T191" i="26"/>
  <c r="T190" i="26"/>
  <c r="F165" i="26"/>
  <c r="AI153" i="26"/>
  <c r="AH153" i="26"/>
  <c r="AB153" i="26"/>
  <c r="AA153" i="26"/>
  <c r="AH152" i="26"/>
  <c r="AA152" i="26"/>
  <c r="AH151" i="26"/>
  <c r="AA151" i="26"/>
  <c r="AH150" i="26"/>
  <c r="AA150" i="26"/>
  <c r="AH149" i="26"/>
  <c r="AA149" i="26"/>
  <c r="AH148" i="26"/>
  <c r="AA148" i="26"/>
  <c r="AH147" i="26"/>
  <c r="AA147" i="26"/>
  <c r="AH146" i="26"/>
  <c r="AA146" i="26"/>
  <c r="AH145" i="26"/>
  <c r="AA145" i="26"/>
  <c r="AH144" i="26"/>
  <c r="AA144" i="26"/>
  <c r="AH143" i="26"/>
  <c r="AA143" i="26"/>
  <c r="AH142" i="26"/>
  <c r="AA142" i="26"/>
  <c r="AI141" i="26"/>
  <c r="AH141" i="26"/>
  <c r="AB141" i="26"/>
  <c r="AA141" i="26"/>
  <c r="AH140" i="26"/>
  <c r="AA140" i="26"/>
  <c r="AH139" i="26"/>
  <c r="AA139" i="26"/>
  <c r="AH138" i="26"/>
  <c r="AA138" i="26"/>
  <c r="AH137" i="26"/>
  <c r="AA137" i="26"/>
  <c r="AH136" i="26"/>
  <c r="AA136" i="26"/>
  <c r="AH135" i="26"/>
  <c r="AA135" i="26"/>
  <c r="AH134" i="26"/>
  <c r="AA134" i="26"/>
  <c r="AH133" i="26"/>
  <c r="AA133" i="26"/>
  <c r="AH132" i="26"/>
  <c r="AA132" i="26"/>
  <c r="AH131" i="26"/>
  <c r="AA131" i="26"/>
  <c r="AH130" i="26"/>
  <c r="AA130" i="26"/>
  <c r="AI129" i="26"/>
  <c r="AH129" i="26"/>
  <c r="AB129" i="26"/>
  <c r="AA129" i="26"/>
  <c r="AH128" i="26"/>
  <c r="AA128" i="26"/>
  <c r="AH127" i="26"/>
  <c r="AA127" i="26"/>
  <c r="AH126" i="26"/>
  <c r="AA126" i="26"/>
  <c r="AH125" i="26"/>
  <c r="AA125" i="26"/>
  <c r="AH124" i="26"/>
  <c r="AA124" i="26"/>
  <c r="AH123" i="26"/>
  <c r="AA123" i="26"/>
  <c r="AH122" i="26"/>
  <c r="AA122" i="26"/>
  <c r="AH121" i="26"/>
  <c r="AA121" i="26"/>
  <c r="AH120" i="26"/>
  <c r="AA120" i="26"/>
  <c r="AH119" i="26"/>
  <c r="AA119" i="26"/>
  <c r="AH118" i="26"/>
  <c r="AA118" i="26"/>
  <c r="AI117" i="26"/>
  <c r="AH117" i="26"/>
  <c r="AB117" i="26"/>
  <c r="AA117" i="26"/>
  <c r="AH116" i="26"/>
  <c r="AA116" i="26"/>
  <c r="AH115" i="26"/>
  <c r="AA115" i="26"/>
  <c r="AH114" i="26"/>
  <c r="AA114" i="26"/>
  <c r="AH113" i="26"/>
  <c r="AA113" i="26"/>
  <c r="AH112" i="26"/>
  <c r="AA112" i="26"/>
  <c r="AH111" i="26"/>
  <c r="AA111" i="26"/>
  <c r="AH110" i="26"/>
  <c r="AA110" i="26"/>
  <c r="AH109" i="26"/>
  <c r="AA109" i="26"/>
  <c r="AH108" i="26"/>
  <c r="AA108" i="26"/>
  <c r="AH107" i="26"/>
  <c r="AA107" i="26"/>
  <c r="AH106" i="26"/>
  <c r="AA106" i="26"/>
  <c r="AI105" i="26"/>
  <c r="AH105" i="26"/>
  <c r="AB105" i="26"/>
  <c r="AA105" i="26"/>
  <c r="AH104" i="26"/>
  <c r="AA104" i="26"/>
  <c r="AH103" i="26"/>
  <c r="AA103" i="26"/>
  <c r="AH102" i="26"/>
  <c r="AA102" i="26"/>
  <c r="AH101" i="26"/>
  <c r="AA101" i="26"/>
  <c r="AH100" i="26"/>
  <c r="AA100" i="26"/>
  <c r="AH99" i="26"/>
  <c r="AA99" i="26"/>
  <c r="AH98" i="26"/>
  <c r="AA98" i="26"/>
  <c r="AH97" i="26"/>
  <c r="AA97" i="26"/>
  <c r="AH96" i="26"/>
  <c r="AA96" i="26"/>
  <c r="AH95" i="26"/>
  <c r="AA95" i="26"/>
  <c r="AH94" i="26"/>
  <c r="AA94" i="26"/>
  <c r="AI93" i="26"/>
  <c r="AH93" i="26"/>
  <c r="AB93" i="26"/>
  <c r="AA93" i="26"/>
  <c r="AH92" i="26"/>
  <c r="AA92" i="26"/>
  <c r="AH91" i="26"/>
  <c r="AA91" i="26"/>
  <c r="AH90" i="26"/>
  <c r="AA90" i="26"/>
  <c r="AH89" i="26"/>
  <c r="AA89" i="26"/>
  <c r="AH88" i="26"/>
  <c r="AA88" i="26"/>
  <c r="AH87" i="26"/>
  <c r="AA87" i="26"/>
  <c r="AH86" i="26"/>
  <c r="AA86" i="26"/>
  <c r="AH85" i="26"/>
  <c r="AA85" i="26"/>
  <c r="AH84" i="26"/>
  <c r="AA84" i="26"/>
  <c r="AH83" i="26"/>
  <c r="AA83" i="26"/>
  <c r="AH82" i="26"/>
  <c r="AA82" i="26"/>
  <c r="AI81" i="26"/>
  <c r="AH81" i="26"/>
  <c r="AB81" i="26"/>
  <c r="AA81" i="26"/>
  <c r="AH80" i="26"/>
  <c r="AA80" i="26"/>
  <c r="AH79" i="26"/>
  <c r="AA79" i="26"/>
  <c r="AH78" i="26"/>
  <c r="AA78" i="26"/>
  <c r="AH77" i="26"/>
  <c r="AA77" i="26"/>
  <c r="AH76" i="26"/>
  <c r="AA76" i="26"/>
  <c r="AH75" i="26"/>
  <c r="AA75" i="26"/>
  <c r="AH74" i="26"/>
  <c r="AA74" i="26"/>
  <c r="AH73" i="26"/>
  <c r="AA73" i="26"/>
  <c r="AH72" i="26"/>
  <c r="AA72" i="26"/>
  <c r="AH71" i="26"/>
  <c r="AA71" i="26"/>
  <c r="AH70" i="26"/>
  <c r="AA70" i="26"/>
  <c r="U69" i="26"/>
  <c r="T69" i="26"/>
  <c r="T68" i="26"/>
  <c r="T67" i="26"/>
  <c r="T66" i="26"/>
  <c r="T65" i="26"/>
  <c r="T64" i="26"/>
  <c r="T63" i="26"/>
  <c r="T62" i="26"/>
  <c r="T61" i="26"/>
  <c r="T60" i="26"/>
  <c r="T59" i="26"/>
  <c r="T58" i="26"/>
  <c r="U57" i="26"/>
  <c r="T57" i="26"/>
  <c r="T56" i="26"/>
  <c r="T55" i="26"/>
  <c r="T54" i="26"/>
  <c r="T53" i="26"/>
  <c r="T52" i="26"/>
  <c r="T51" i="26"/>
  <c r="T50" i="26"/>
  <c r="T49" i="26"/>
  <c r="T48" i="26"/>
  <c r="T47" i="26"/>
  <c r="T46" i="26"/>
  <c r="U45" i="26"/>
  <c r="T45" i="26"/>
  <c r="N45" i="26"/>
  <c r="M45" i="26"/>
  <c r="G45" i="26"/>
  <c r="F346" i="26" s="1"/>
  <c r="F45" i="26"/>
  <c r="T44" i="26"/>
  <c r="M44" i="26"/>
  <c r="F44" i="26"/>
  <c r="T43" i="26"/>
  <c r="M43" i="26"/>
  <c r="F43" i="26"/>
  <c r="T42" i="26"/>
  <c r="M42" i="26"/>
  <c r="F42" i="26"/>
  <c r="T41" i="26"/>
  <c r="M41" i="26"/>
  <c r="F41" i="26"/>
  <c r="T40" i="26"/>
  <c r="M40" i="26"/>
  <c r="F40" i="26"/>
  <c r="T39" i="26"/>
  <c r="M39" i="26"/>
  <c r="F39" i="26"/>
  <c r="T38" i="26"/>
  <c r="M38" i="26"/>
  <c r="F38" i="26"/>
  <c r="T37" i="26"/>
  <c r="M37" i="26"/>
  <c r="F37" i="26"/>
  <c r="T36" i="26"/>
  <c r="M36" i="26"/>
  <c r="F36" i="26"/>
  <c r="T35" i="26"/>
  <c r="M35" i="26"/>
  <c r="F35" i="26"/>
  <c r="T34" i="26"/>
  <c r="M34" i="26"/>
  <c r="F34" i="26"/>
  <c r="A34" i="26"/>
  <c r="A46" i="26" s="1"/>
  <c r="A58" i="26" s="1"/>
  <c r="A70" i="26" s="1"/>
  <c r="A82" i="26" s="1"/>
  <c r="A94" i="26" s="1"/>
  <c r="A106" i="26" s="1"/>
  <c r="A118" i="26" s="1"/>
  <c r="A130" i="26" s="1"/>
  <c r="A142" i="26" s="1"/>
  <c r="A154" i="26" s="1"/>
  <c r="N33" i="26"/>
  <c r="M33" i="26"/>
  <c r="G33" i="26"/>
  <c r="E346" i="26" s="1"/>
  <c r="F33" i="26"/>
  <c r="M32" i="26"/>
  <c r="F32" i="26"/>
  <c r="M31" i="26"/>
  <c r="F31" i="26"/>
  <c r="M30" i="26"/>
  <c r="F30" i="26"/>
  <c r="M29" i="26"/>
  <c r="F29" i="26"/>
  <c r="M28" i="26"/>
  <c r="F28" i="26"/>
  <c r="M27" i="26"/>
  <c r="F27" i="26"/>
  <c r="M26" i="26"/>
  <c r="F26" i="26"/>
  <c r="M25" i="26"/>
  <c r="F25" i="26"/>
  <c r="M24" i="26"/>
  <c r="F24" i="26"/>
  <c r="M23" i="26"/>
  <c r="F23" i="26"/>
  <c r="AC22" i="26"/>
  <c r="AC34" i="26" s="1"/>
  <c r="AC46" i="26" s="1"/>
  <c r="AC58" i="26" s="1"/>
  <c r="AC70" i="26" s="1"/>
  <c r="AC82" i="26" s="1"/>
  <c r="AC94" i="26" s="1"/>
  <c r="AC106" i="26" s="1"/>
  <c r="AC118" i="26" s="1"/>
  <c r="AC130" i="26" s="1"/>
  <c r="V22" i="26"/>
  <c r="V34" i="26" s="1"/>
  <c r="V46" i="26" s="1"/>
  <c r="V58" i="26" s="1"/>
  <c r="V70" i="26" s="1"/>
  <c r="V82" i="26" s="1"/>
  <c r="V94" i="26" s="1"/>
  <c r="V106" i="26" s="1"/>
  <c r="V118" i="26" s="1"/>
  <c r="V130" i="26" s="1"/>
  <c r="M22" i="26"/>
  <c r="F22" i="26"/>
  <c r="AJ21" i="26"/>
  <c r="AJ33" i="26" s="1"/>
  <c r="AJ45" i="26" s="1"/>
  <c r="AJ57" i="26" s="1"/>
  <c r="AJ69" i="26" s="1"/>
  <c r="AJ81" i="26" s="1"/>
  <c r="AJ93" i="26" s="1"/>
  <c r="AJ105" i="26" s="1"/>
  <c r="AJ117" i="26" s="1"/>
  <c r="AJ129" i="26" s="1"/>
  <c r="AJ141" i="26" s="1"/>
  <c r="G21" i="26"/>
  <c r="F21" i="26"/>
  <c r="F20" i="26"/>
  <c r="F19" i="26"/>
  <c r="F18" i="26"/>
  <c r="F17" i="26"/>
  <c r="F16" i="26"/>
  <c r="F15" i="26"/>
  <c r="F14" i="26"/>
  <c r="F13" i="26"/>
  <c r="F12" i="26"/>
  <c r="F11" i="26"/>
  <c r="H10" i="26"/>
  <c r="O10" i="26" s="1"/>
  <c r="O22" i="26" s="1"/>
  <c r="O34" i="26" s="1"/>
  <c r="O46" i="26" s="1"/>
  <c r="O58" i="26" s="1"/>
  <c r="O70" i="26" s="1"/>
  <c r="O82" i="26" s="1"/>
  <c r="O94" i="26" s="1"/>
  <c r="O106" i="26" s="1"/>
  <c r="O118" i="26" s="1"/>
  <c r="O130" i="26" s="1"/>
  <c r="O142" i="26" s="1"/>
  <c r="F10" i="26"/>
  <c r="AK9" i="26"/>
  <c r="D8" i="26"/>
  <c r="K8" i="26" s="1"/>
  <c r="C8" i="26"/>
  <c r="A8" i="26"/>
  <c r="AE7" i="26"/>
  <c r="X7" i="26"/>
  <c r="D7" i="26"/>
  <c r="AF69" i="26" s="1"/>
  <c r="AH69" i="26" s="1"/>
  <c r="N6" i="26"/>
  <c r="U6" i="26" s="1"/>
  <c r="AB6" i="26" s="1"/>
  <c r="AI6" i="26" s="1"/>
  <c r="AC4" i="26"/>
  <c r="V4" i="26"/>
  <c r="Q4" i="26"/>
  <c r="P4" i="26"/>
  <c r="B4" i="26"/>
  <c r="I4" i="26" s="1"/>
  <c r="P3" i="26"/>
  <c r="J7" i="25"/>
  <c r="C7" i="25"/>
  <c r="AD346" i="25"/>
  <c r="AC346" i="25"/>
  <c r="Q346" i="25"/>
  <c r="AA331" i="25"/>
  <c r="AA330" i="25"/>
  <c r="AH325" i="25"/>
  <c r="AH324" i="25"/>
  <c r="AH323" i="25"/>
  <c r="AH322" i="25"/>
  <c r="AH321" i="25"/>
  <c r="AH320" i="25"/>
  <c r="AH319" i="25"/>
  <c r="AH318" i="25"/>
  <c r="AH317" i="25"/>
  <c r="AH316" i="25"/>
  <c r="AH315" i="25"/>
  <c r="AH314" i="25"/>
  <c r="AH313" i="25"/>
  <c r="AH312" i="25"/>
  <c r="AH311" i="25"/>
  <c r="AH310" i="25"/>
  <c r="AJ309" i="25"/>
  <c r="AJ297" i="25"/>
  <c r="AJ285" i="25"/>
  <c r="AB285" i="25"/>
  <c r="AA285" i="25"/>
  <c r="T285" i="25"/>
  <c r="AA284" i="25"/>
  <c r="T284" i="25"/>
  <c r="AA283" i="25"/>
  <c r="T283" i="25"/>
  <c r="AA282" i="25"/>
  <c r="T282" i="25"/>
  <c r="AA281" i="25"/>
  <c r="T281" i="25"/>
  <c r="AA280" i="25"/>
  <c r="T280" i="25"/>
  <c r="AA279" i="25"/>
  <c r="T279" i="25"/>
  <c r="AA278" i="25"/>
  <c r="T278" i="25"/>
  <c r="AA277" i="25"/>
  <c r="T277" i="25"/>
  <c r="AA276" i="25"/>
  <c r="T276" i="25"/>
  <c r="AA275" i="25"/>
  <c r="T275" i="25"/>
  <c r="AA274" i="25"/>
  <c r="T274" i="25"/>
  <c r="O274" i="25"/>
  <c r="AJ273" i="25"/>
  <c r="AJ261" i="25"/>
  <c r="AJ249" i="25"/>
  <c r="AJ237" i="25"/>
  <c r="AJ225" i="25"/>
  <c r="AJ213" i="25"/>
  <c r="AJ201" i="25"/>
  <c r="T201" i="25"/>
  <c r="T200" i="25"/>
  <c r="T199" i="25"/>
  <c r="T198" i="25"/>
  <c r="T197" i="25"/>
  <c r="T196" i="25"/>
  <c r="T195" i="25"/>
  <c r="T194" i="25"/>
  <c r="T193" i="25"/>
  <c r="T192" i="25"/>
  <c r="T191" i="25"/>
  <c r="T190" i="25"/>
  <c r="AI153" i="25"/>
  <c r="AH153" i="25"/>
  <c r="AB153" i="25"/>
  <c r="AA153" i="25"/>
  <c r="AH152" i="25"/>
  <c r="AA152" i="25"/>
  <c r="AH151" i="25"/>
  <c r="AA151" i="25"/>
  <c r="AH150" i="25"/>
  <c r="AA150" i="25"/>
  <c r="AH149" i="25"/>
  <c r="AA149" i="25"/>
  <c r="AH148" i="25"/>
  <c r="AA148" i="25"/>
  <c r="AH147" i="25"/>
  <c r="AA147" i="25"/>
  <c r="AH146" i="25"/>
  <c r="AA146" i="25"/>
  <c r="AH145" i="25"/>
  <c r="AA145" i="25"/>
  <c r="AH144" i="25"/>
  <c r="AA144" i="25"/>
  <c r="AH143" i="25"/>
  <c r="AA143" i="25"/>
  <c r="AH142" i="25"/>
  <c r="AA142" i="25"/>
  <c r="AI141" i="25"/>
  <c r="AH141" i="25"/>
  <c r="AB141" i="25"/>
  <c r="AA141" i="25"/>
  <c r="AH140" i="25"/>
  <c r="AA140" i="25"/>
  <c r="AH139" i="25"/>
  <c r="AA139" i="25"/>
  <c r="AH138" i="25"/>
  <c r="AA138" i="25"/>
  <c r="AH137" i="25"/>
  <c r="AA137" i="25"/>
  <c r="AH136" i="25"/>
  <c r="AA136" i="25"/>
  <c r="AH135" i="25"/>
  <c r="AA135" i="25"/>
  <c r="AH134" i="25"/>
  <c r="AA134" i="25"/>
  <c r="AH133" i="25"/>
  <c r="AA133" i="25"/>
  <c r="AH132" i="25"/>
  <c r="AA132" i="25"/>
  <c r="AH131" i="25"/>
  <c r="AA131" i="25"/>
  <c r="AH130" i="25"/>
  <c r="AA130" i="25"/>
  <c r="AI129" i="25"/>
  <c r="AH129" i="25"/>
  <c r="AB129" i="25"/>
  <c r="AA129" i="25"/>
  <c r="AH128" i="25"/>
  <c r="AA128" i="25"/>
  <c r="AH127" i="25"/>
  <c r="AA127" i="25"/>
  <c r="AH126" i="25"/>
  <c r="AA126" i="25"/>
  <c r="AH125" i="25"/>
  <c r="AA125" i="25"/>
  <c r="AH124" i="25"/>
  <c r="AA124" i="25"/>
  <c r="AH123" i="25"/>
  <c r="AA123" i="25"/>
  <c r="AH122" i="25"/>
  <c r="AA122" i="25"/>
  <c r="AH121" i="25"/>
  <c r="AA121" i="25"/>
  <c r="AH120" i="25"/>
  <c r="AA120" i="25"/>
  <c r="AH119" i="25"/>
  <c r="AA119" i="25"/>
  <c r="AH118" i="25"/>
  <c r="AA118" i="25"/>
  <c r="AI117" i="25"/>
  <c r="AH117" i="25"/>
  <c r="AB117" i="25"/>
  <c r="AA117" i="25"/>
  <c r="AH116" i="25"/>
  <c r="AA116" i="25"/>
  <c r="AH115" i="25"/>
  <c r="AA115" i="25"/>
  <c r="AH114" i="25"/>
  <c r="AA114" i="25"/>
  <c r="AH113" i="25"/>
  <c r="AA113" i="25"/>
  <c r="AH112" i="25"/>
  <c r="AA112" i="25"/>
  <c r="AH111" i="25"/>
  <c r="AA111" i="25"/>
  <c r="AH110" i="25"/>
  <c r="AA110" i="25"/>
  <c r="AH109" i="25"/>
  <c r="AA109" i="25"/>
  <c r="AH108" i="25"/>
  <c r="AA108" i="25"/>
  <c r="AH107" i="25"/>
  <c r="AA107" i="25"/>
  <c r="AH106" i="25"/>
  <c r="AA106" i="25"/>
  <c r="AI105" i="25"/>
  <c r="AH105" i="25"/>
  <c r="AB105" i="25"/>
  <c r="AA105" i="25"/>
  <c r="AH104" i="25"/>
  <c r="AA104" i="25"/>
  <c r="AH103" i="25"/>
  <c r="AA103" i="25"/>
  <c r="AH102" i="25"/>
  <c r="AA102" i="25"/>
  <c r="AH101" i="25"/>
  <c r="AA101" i="25"/>
  <c r="AH100" i="25"/>
  <c r="AA100" i="25"/>
  <c r="AH99" i="25"/>
  <c r="AA99" i="25"/>
  <c r="AH98" i="25"/>
  <c r="AA98" i="25"/>
  <c r="AH97" i="25"/>
  <c r="AA97" i="25"/>
  <c r="AH96" i="25"/>
  <c r="AA96" i="25"/>
  <c r="AH95" i="25"/>
  <c r="AA95" i="25"/>
  <c r="AH94" i="25"/>
  <c r="AA94" i="25"/>
  <c r="AI93" i="25"/>
  <c r="AH93" i="25"/>
  <c r="AB93" i="25"/>
  <c r="AA93" i="25"/>
  <c r="AH92" i="25"/>
  <c r="AA92" i="25"/>
  <c r="AH91" i="25"/>
  <c r="AA91" i="25"/>
  <c r="AH90" i="25"/>
  <c r="AA90" i="25"/>
  <c r="AH89" i="25"/>
  <c r="AA89" i="25"/>
  <c r="AH88" i="25"/>
  <c r="AA88" i="25"/>
  <c r="AH87" i="25"/>
  <c r="AA87" i="25"/>
  <c r="AH86" i="25"/>
  <c r="AA86" i="25"/>
  <c r="AH85" i="25"/>
  <c r="AA85" i="25"/>
  <c r="AH84" i="25"/>
  <c r="AA84" i="25"/>
  <c r="AH83" i="25"/>
  <c r="AA83" i="25"/>
  <c r="AH82" i="25"/>
  <c r="AA82" i="25"/>
  <c r="AI81" i="25"/>
  <c r="AH81" i="25"/>
  <c r="AB81" i="25"/>
  <c r="AA81" i="25"/>
  <c r="AH80" i="25"/>
  <c r="AA80" i="25"/>
  <c r="AH79" i="25"/>
  <c r="AA79" i="25"/>
  <c r="AH78" i="25"/>
  <c r="AA78" i="25"/>
  <c r="AH77" i="25"/>
  <c r="AA77" i="25"/>
  <c r="AH76" i="25"/>
  <c r="AA76" i="25"/>
  <c r="AH75" i="25"/>
  <c r="AA75" i="25"/>
  <c r="AH74" i="25"/>
  <c r="AA74" i="25"/>
  <c r="AH73" i="25"/>
  <c r="AA73" i="25"/>
  <c r="AH72" i="25"/>
  <c r="AA72" i="25"/>
  <c r="AH71" i="25"/>
  <c r="AA71" i="25"/>
  <c r="AH70" i="25"/>
  <c r="AA70" i="25"/>
  <c r="U69" i="25"/>
  <c r="T69" i="25"/>
  <c r="T68" i="25"/>
  <c r="T67" i="25"/>
  <c r="T66" i="25"/>
  <c r="T65" i="25"/>
  <c r="T64" i="25"/>
  <c r="T63" i="25"/>
  <c r="T62" i="25"/>
  <c r="T61" i="25"/>
  <c r="T60" i="25"/>
  <c r="T59" i="25"/>
  <c r="T58" i="25"/>
  <c r="U57" i="25"/>
  <c r="T57" i="25"/>
  <c r="T56" i="25"/>
  <c r="T55" i="25"/>
  <c r="T54" i="25"/>
  <c r="T53" i="25"/>
  <c r="T52" i="25"/>
  <c r="T51" i="25"/>
  <c r="T50" i="25"/>
  <c r="T49" i="25"/>
  <c r="T48" i="25"/>
  <c r="T47" i="25"/>
  <c r="T46" i="25"/>
  <c r="U45" i="25"/>
  <c r="T45" i="25"/>
  <c r="N45" i="25"/>
  <c r="M45" i="25"/>
  <c r="G45" i="25"/>
  <c r="F346" i="25" s="1"/>
  <c r="F45" i="25"/>
  <c r="T44" i="25"/>
  <c r="M44" i="25"/>
  <c r="F44" i="25"/>
  <c r="T43" i="25"/>
  <c r="M43" i="25"/>
  <c r="F43" i="25"/>
  <c r="T42" i="25"/>
  <c r="M42" i="25"/>
  <c r="F42" i="25"/>
  <c r="T41" i="25"/>
  <c r="M41" i="25"/>
  <c r="F41" i="25"/>
  <c r="T40" i="25"/>
  <c r="M40" i="25"/>
  <c r="F40" i="25"/>
  <c r="T39" i="25"/>
  <c r="M39" i="25"/>
  <c r="F39" i="25"/>
  <c r="T38" i="25"/>
  <c r="M38" i="25"/>
  <c r="F38" i="25"/>
  <c r="T37" i="25"/>
  <c r="M37" i="25"/>
  <c r="F37" i="25"/>
  <c r="T36" i="25"/>
  <c r="M36" i="25"/>
  <c r="F36" i="25"/>
  <c r="T35" i="25"/>
  <c r="M35" i="25"/>
  <c r="F35" i="25"/>
  <c r="T34" i="25"/>
  <c r="M34" i="25"/>
  <c r="F34" i="25"/>
  <c r="A34" i="25"/>
  <c r="A46" i="25" s="1"/>
  <c r="A58" i="25" s="1"/>
  <c r="A70" i="25" s="1"/>
  <c r="A82" i="25" s="1"/>
  <c r="A94" i="25" s="1"/>
  <c r="A106" i="25" s="1"/>
  <c r="A118" i="25" s="1"/>
  <c r="A130" i="25" s="1"/>
  <c r="A142" i="25" s="1"/>
  <c r="A154" i="25" s="1"/>
  <c r="N33" i="25"/>
  <c r="M33" i="25"/>
  <c r="G33" i="25"/>
  <c r="E346" i="25" s="1"/>
  <c r="F33" i="25"/>
  <c r="M32" i="25"/>
  <c r="F32" i="25"/>
  <c r="M31" i="25"/>
  <c r="F31" i="25"/>
  <c r="M30" i="25"/>
  <c r="F30" i="25"/>
  <c r="M29" i="25"/>
  <c r="F29" i="25"/>
  <c r="M28" i="25"/>
  <c r="F28" i="25"/>
  <c r="M27" i="25"/>
  <c r="F27" i="25"/>
  <c r="M26" i="25"/>
  <c r="F26" i="25"/>
  <c r="M25" i="25"/>
  <c r="F25" i="25"/>
  <c r="M24" i="25"/>
  <c r="F24" i="25"/>
  <c r="M23" i="25"/>
  <c r="F23" i="25"/>
  <c r="AC22" i="25"/>
  <c r="AC34" i="25" s="1"/>
  <c r="AC46" i="25" s="1"/>
  <c r="AC58" i="25" s="1"/>
  <c r="AC70" i="25" s="1"/>
  <c r="AC82" i="25" s="1"/>
  <c r="AC94" i="25" s="1"/>
  <c r="AC106" i="25" s="1"/>
  <c r="AC118" i="25" s="1"/>
  <c r="AC130" i="25" s="1"/>
  <c r="V22" i="25"/>
  <c r="V34" i="25" s="1"/>
  <c r="V46" i="25" s="1"/>
  <c r="V58" i="25" s="1"/>
  <c r="V70" i="25" s="1"/>
  <c r="V82" i="25" s="1"/>
  <c r="V94" i="25" s="1"/>
  <c r="V106" i="25" s="1"/>
  <c r="V118" i="25" s="1"/>
  <c r="V130" i="25" s="1"/>
  <c r="M22" i="25"/>
  <c r="F22" i="25"/>
  <c r="AJ21" i="25"/>
  <c r="AJ33" i="25" s="1"/>
  <c r="AJ45" i="25" s="1"/>
  <c r="AJ57" i="25" s="1"/>
  <c r="AJ69" i="25" s="1"/>
  <c r="AJ81" i="25" s="1"/>
  <c r="AJ93" i="25" s="1"/>
  <c r="AJ105" i="25" s="1"/>
  <c r="AJ117" i="25" s="1"/>
  <c r="AJ129" i="25" s="1"/>
  <c r="AJ141" i="25" s="1"/>
  <c r="G21" i="25"/>
  <c r="AK21" i="25" s="1"/>
  <c r="F21" i="25"/>
  <c r="F20" i="25"/>
  <c r="F19" i="25"/>
  <c r="F18" i="25"/>
  <c r="F17" i="25"/>
  <c r="F16" i="25"/>
  <c r="F15" i="25"/>
  <c r="F14" i="25"/>
  <c r="F13" i="25"/>
  <c r="F12" i="25"/>
  <c r="F11" i="25"/>
  <c r="H10" i="25"/>
  <c r="H22" i="25" s="1"/>
  <c r="H34" i="25" s="1"/>
  <c r="H46" i="25" s="1"/>
  <c r="H58" i="25" s="1"/>
  <c r="H70" i="25" s="1"/>
  <c r="H82" i="25" s="1"/>
  <c r="H94" i="25" s="1"/>
  <c r="H106" i="25" s="1"/>
  <c r="H118" i="25" s="1"/>
  <c r="H130" i="25" s="1"/>
  <c r="H142" i="25" s="1"/>
  <c r="H154" i="25" s="1"/>
  <c r="F10" i="25"/>
  <c r="AK9" i="25"/>
  <c r="K8" i="25"/>
  <c r="D8" i="25"/>
  <c r="AE7" i="25"/>
  <c r="X7" i="25"/>
  <c r="D7" i="25"/>
  <c r="AF68" i="25" s="1"/>
  <c r="AH68" i="25" s="1"/>
  <c r="E117" i="25"/>
  <c r="N6" i="25"/>
  <c r="U6" i="25" s="1"/>
  <c r="AB6" i="25" s="1"/>
  <c r="AI6" i="25" s="1"/>
  <c r="N5" i="25"/>
  <c r="U5" i="25" s="1"/>
  <c r="AC4" i="25"/>
  <c r="V4" i="25"/>
  <c r="Q4" i="25"/>
  <c r="P4" i="25"/>
  <c r="I4" i="25"/>
  <c r="B4" i="25"/>
  <c r="P3" i="25"/>
  <c r="Q7" i="24"/>
  <c r="S115" i="24" s="1"/>
  <c r="J7" i="24"/>
  <c r="C7" i="24"/>
  <c r="AD346" i="24"/>
  <c r="AC346" i="24"/>
  <c r="Q346" i="24"/>
  <c r="AA331" i="24"/>
  <c r="AA330" i="24"/>
  <c r="AH325" i="24"/>
  <c r="AH324" i="24"/>
  <c r="AH323" i="24"/>
  <c r="AH322" i="24"/>
  <c r="AH321" i="24"/>
  <c r="AH320" i="24"/>
  <c r="AH319" i="24"/>
  <c r="AH318" i="24"/>
  <c r="AH317" i="24"/>
  <c r="AH316" i="24"/>
  <c r="AH315" i="24"/>
  <c r="AH314" i="24"/>
  <c r="AH313" i="24"/>
  <c r="AH312" i="24"/>
  <c r="AH311" i="24"/>
  <c r="AH310" i="24"/>
  <c r="AJ309" i="24"/>
  <c r="AJ297" i="24"/>
  <c r="AJ285" i="24"/>
  <c r="AB285" i="24"/>
  <c r="AA285" i="24"/>
  <c r="T285" i="24"/>
  <c r="AA284" i="24"/>
  <c r="T284" i="24"/>
  <c r="AA283" i="24"/>
  <c r="T283" i="24"/>
  <c r="AA282" i="24"/>
  <c r="T282" i="24"/>
  <c r="AA281" i="24"/>
  <c r="T281" i="24"/>
  <c r="AA280" i="24"/>
  <c r="T280" i="24"/>
  <c r="AA279" i="24"/>
  <c r="T279" i="24"/>
  <c r="AA278" i="24"/>
  <c r="T278" i="24"/>
  <c r="AA277" i="24"/>
  <c r="T277" i="24"/>
  <c r="AA276" i="24"/>
  <c r="T276" i="24"/>
  <c r="AA275" i="24"/>
  <c r="T275" i="24"/>
  <c r="AA274" i="24"/>
  <c r="T274" i="24"/>
  <c r="O274" i="24"/>
  <c r="AJ273" i="24"/>
  <c r="AJ261" i="24"/>
  <c r="AJ249" i="24"/>
  <c r="AJ237" i="24"/>
  <c r="AJ225" i="24"/>
  <c r="AJ213" i="24"/>
  <c r="AJ201" i="24"/>
  <c r="T201" i="24"/>
  <c r="T200" i="24"/>
  <c r="T199" i="24"/>
  <c r="T198" i="24"/>
  <c r="T197" i="24"/>
  <c r="T196" i="24"/>
  <c r="T195" i="24"/>
  <c r="T194" i="24"/>
  <c r="T193" i="24"/>
  <c r="T192" i="24"/>
  <c r="T191" i="24"/>
  <c r="T190" i="24"/>
  <c r="U189" i="24"/>
  <c r="R347" i="24" s="1"/>
  <c r="T189" i="24"/>
  <c r="T188" i="24"/>
  <c r="T187" i="24"/>
  <c r="T186" i="24"/>
  <c r="T185" i="24"/>
  <c r="T184" i="24"/>
  <c r="T183" i="24"/>
  <c r="T182" i="24"/>
  <c r="T181" i="24"/>
  <c r="T180" i="24"/>
  <c r="T179" i="24"/>
  <c r="T178" i="24"/>
  <c r="AI153" i="24"/>
  <c r="AH153" i="24"/>
  <c r="AB153" i="24"/>
  <c r="AA153" i="24"/>
  <c r="AH152" i="24"/>
  <c r="AA152" i="24"/>
  <c r="AH151" i="24"/>
  <c r="AA151" i="24"/>
  <c r="AH150" i="24"/>
  <c r="AA150" i="24"/>
  <c r="AH149" i="24"/>
  <c r="AA149" i="24"/>
  <c r="AH148" i="24"/>
  <c r="AA148" i="24"/>
  <c r="AH147" i="24"/>
  <c r="AA147" i="24"/>
  <c r="AH146" i="24"/>
  <c r="AA146" i="24"/>
  <c r="AH145" i="24"/>
  <c r="AA145" i="24"/>
  <c r="AH144" i="24"/>
  <c r="AA144" i="24"/>
  <c r="AH143" i="24"/>
  <c r="AA143" i="24"/>
  <c r="AH142" i="24"/>
  <c r="AA142" i="24"/>
  <c r="AI141" i="24"/>
  <c r="AH141" i="24"/>
  <c r="AB141" i="24"/>
  <c r="AA141" i="24"/>
  <c r="AH140" i="24"/>
  <c r="AA140" i="24"/>
  <c r="AH139" i="24"/>
  <c r="AA139" i="24"/>
  <c r="AH138" i="24"/>
  <c r="AA138" i="24"/>
  <c r="AH137" i="24"/>
  <c r="AA137" i="24"/>
  <c r="AH136" i="24"/>
  <c r="AA136" i="24"/>
  <c r="AH135" i="24"/>
  <c r="AA135" i="24"/>
  <c r="AH134" i="24"/>
  <c r="AA134" i="24"/>
  <c r="AH133" i="24"/>
  <c r="AA133" i="24"/>
  <c r="AH132" i="24"/>
  <c r="AA132" i="24"/>
  <c r="AH131" i="24"/>
  <c r="AA131" i="24"/>
  <c r="AH130" i="24"/>
  <c r="AA130" i="24"/>
  <c r="AI129" i="24"/>
  <c r="AH129" i="24"/>
  <c r="AB129" i="24"/>
  <c r="AA129" i="24"/>
  <c r="AH128" i="24"/>
  <c r="AA128" i="24"/>
  <c r="AH127" i="24"/>
  <c r="AA127" i="24"/>
  <c r="AH126" i="24"/>
  <c r="AA126" i="24"/>
  <c r="AH125" i="24"/>
  <c r="AA125" i="24"/>
  <c r="AH124" i="24"/>
  <c r="AA124" i="24"/>
  <c r="AH123" i="24"/>
  <c r="AA123" i="24"/>
  <c r="AH122" i="24"/>
  <c r="AA122" i="24"/>
  <c r="AH121" i="24"/>
  <c r="AA121" i="24"/>
  <c r="AH120" i="24"/>
  <c r="AA120" i="24"/>
  <c r="AH119" i="24"/>
  <c r="AA119" i="24"/>
  <c r="AH118" i="24"/>
  <c r="AA118" i="24"/>
  <c r="AI117" i="24"/>
  <c r="AH117" i="24"/>
  <c r="AB117" i="24"/>
  <c r="AA117" i="24"/>
  <c r="AH116" i="24"/>
  <c r="AA116" i="24"/>
  <c r="AH115" i="24"/>
  <c r="AA115" i="24"/>
  <c r="AH114" i="24"/>
  <c r="AA114" i="24"/>
  <c r="AH113" i="24"/>
  <c r="AA113" i="24"/>
  <c r="AH112" i="24"/>
  <c r="AA112" i="24"/>
  <c r="AH111" i="24"/>
  <c r="AA111" i="24"/>
  <c r="AH110" i="24"/>
  <c r="AA110" i="24"/>
  <c r="AH109" i="24"/>
  <c r="AA109" i="24"/>
  <c r="AH108" i="24"/>
  <c r="AA108" i="24"/>
  <c r="AH107" i="24"/>
  <c r="AA107" i="24"/>
  <c r="AH106" i="24"/>
  <c r="AA106" i="24"/>
  <c r="AI105" i="24"/>
  <c r="AH105" i="24"/>
  <c r="AB105" i="24"/>
  <c r="AA105" i="24"/>
  <c r="AH104" i="24"/>
  <c r="AA104" i="24"/>
  <c r="AH103" i="24"/>
  <c r="AA103" i="24"/>
  <c r="AH102" i="24"/>
  <c r="AA102" i="24"/>
  <c r="AH101" i="24"/>
  <c r="AA101" i="24"/>
  <c r="AH100" i="24"/>
  <c r="AA100" i="24"/>
  <c r="AH99" i="24"/>
  <c r="AA99" i="24"/>
  <c r="AH98" i="24"/>
  <c r="AA98" i="24"/>
  <c r="AH97" i="24"/>
  <c r="AA97" i="24"/>
  <c r="AH96" i="24"/>
  <c r="AA96" i="24"/>
  <c r="AH95" i="24"/>
  <c r="AA95" i="24"/>
  <c r="AH94" i="24"/>
  <c r="AA94" i="24"/>
  <c r="AI93" i="24"/>
  <c r="AH93" i="24"/>
  <c r="AB93" i="24"/>
  <c r="AA93" i="24"/>
  <c r="AH92" i="24"/>
  <c r="AA92" i="24"/>
  <c r="AH91" i="24"/>
  <c r="AA91" i="24"/>
  <c r="AH90" i="24"/>
  <c r="AA90" i="24"/>
  <c r="AH89" i="24"/>
  <c r="AA89" i="24"/>
  <c r="AH88" i="24"/>
  <c r="AA88" i="24"/>
  <c r="AH87" i="24"/>
  <c r="AA87" i="24"/>
  <c r="AH86" i="24"/>
  <c r="AA86" i="24"/>
  <c r="AH85" i="24"/>
  <c r="AA85" i="24"/>
  <c r="AH84" i="24"/>
  <c r="AA84" i="24"/>
  <c r="AH83" i="24"/>
  <c r="AA83" i="24"/>
  <c r="AH82" i="24"/>
  <c r="AA82" i="24"/>
  <c r="AI81" i="24"/>
  <c r="AH81" i="24"/>
  <c r="AB81" i="24"/>
  <c r="AA81" i="24"/>
  <c r="AH80" i="24"/>
  <c r="AA80" i="24"/>
  <c r="AH79" i="24"/>
  <c r="AA79" i="24"/>
  <c r="AH78" i="24"/>
  <c r="AA78" i="24"/>
  <c r="AH77" i="24"/>
  <c r="AA77" i="24"/>
  <c r="AH76" i="24"/>
  <c r="AA76" i="24"/>
  <c r="AH75" i="24"/>
  <c r="AA75" i="24"/>
  <c r="AH74" i="24"/>
  <c r="AA74" i="24"/>
  <c r="AH73" i="24"/>
  <c r="AA73" i="24"/>
  <c r="AH72" i="24"/>
  <c r="AA72" i="24"/>
  <c r="AH71" i="24"/>
  <c r="AA71" i="24"/>
  <c r="AH70" i="24"/>
  <c r="AA70" i="24"/>
  <c r="U57" i="24"/>
  <c r="T57" i="24"/>
  <c r="T56" i="24"/>
  <c r="T55" i="24"/>
  <c r="T54" i="24"/>
  <c r="T53" i="24"/>
  <c r="T52" i="24"/>
  <c r="T51" i="24"/>
  <c r="T50" i="24"/>
  <c r="T49" i="24"/>
  <c r="T48" i="24"/>
  <c r="T47" i="24"/>
  <c r="T46" i="24"/>
  <c r="U45" i="24"/>
  <c r="T45" i="24"/>
  <c r="N45" i="24"/>
  <c r="M45" i="24"/>
  <c r="G45" i="24"/>
  <c r="F346" i="24" s="1"/>
  <c r="F45" i="24"/>
  <c r="T44" i="24"/>
  <c r="M44" i="24"/>
  <c r="F44" i="24"/>
  <c r="T43" i="24"/>
  <c r="M43" i="24"/>
  <c r="F43" i="24"/>
  <c r="T42" i="24"/>
  <c r="M42" i="24"/>
  <c r="F42" i="24"/>
  <c r="T41" i="24"/>
  <c r="M41" i="24"/>
  <c r="F41" i="24"/>
  <c r="T40" i="24"/>
  <c r="M40" i="24"/>
  <c r="F40" i="24"/>
  <c r="T39" i="24"/>
  <c r="M39" i="24"/>
  <c r="F39" i="24"/>
  <c r="T38" i="24"/>
  <c r="M38" i="24"/>
  <c r="F38" i="24"/>
  <c r="T37" i="24"/>
  <c r="M37" i="24"/>
  <c r="F37" i="24"/>
  <c r="T36" i="24"/>
  <c r="M36" i="24"/>
  <c r="F36" i="24"/>
  <c r="T35" i="24"/>
  <c r="M35" i="24"/>
  <c r="F35" i="24"/>
  <c r="Y34" i="24"/>
  <c r="AA34" i="24" s="1"/>
  <c r="T34" i="24"/>
  <c r="M34" i="24"/>
  <c r="F34" i="24"/>
  <c r="A34" i="24"/>
  <c r="A46" i="24" s="1"/>
  <c r="A58" i="24" s="1"/>
  <c r="A70" i="24" s="1"/>
  <c r="A82" i="24" s="1"/>
  <c r="A94" i="24" s="1"/>
  <c r="A106" i="24" s="1"/>
  <c r="A118" i="24" s="1"/>
  <c r="A130" i="24" s="1"/>
  <c r="A142" i="24" s="1"/>
  <c r="A154" i="24" s="1"/>
  <c r="N33" i="24"/>
  <c r="M33" i="24"/>
  <c r="G33" i="24"/>
  <c r="E346" i="24" s="1"/>
  <c r="F33" i="24"/>
  <c r="M32" i="24"/>
  <c r="F32" i="24"/>
  <c r="M31" i="24"/>
  <c r="F31" i="24"/>
  <c r="M30" i="24"/>
  <c r="F30" i="24"/>
  <c r="M29" i="24"/>
  <c r="F29" i="24"/>
  <c r="M28" i="24"/>
  <c r="F28" i="24"/>
  <c r="M27" i="24"/>
  <c r="F27" i="24"/>
  <c r="M26" i="24"/>
  <c r="F26" i="24"/>
  <c r="M25" i="24"/>
  <c r="F25" i="24"/>
  <c r="M24" i="24"/>
  <c r="F24" i="24"/>
  <c r="M23" i="24"/>
  <c r="F23" i="24"/>
  <c r="AC22" i="24"/>
  <c r="AC34" i="24" s="1"/>
  <c r="AC46" i="24" s="1"/>
  <c r="AC58" i="24" s="1"/>
  <c r="AC70" i="24" s="1"/>
  <c r="AC82" i="24" s="1"/>
  <c r="AC94" i="24" s="1"/>
  <c r="AC106" i="24" s="1"/>
  <c r="AC118" i="24" s="1"/>
  <c r="AC130" i="24" s="1"/>
  <c r="V22" i="24"/>
  <c r="V34" i="24" s="1"/>
  <c r="V46" i="24" s="1"/>
  <c r="V58" i="24" s="1"/>
  <c r="V70" i="24" s="1"/>
  <c r="V82" i="24" s="1"/>
  <c r="V94" i="24" s="1"/>
  <c r="V106" i="24" s="1"/>
  <c r="V118" i="24" s="1"/>
  <c r="V130" i="24" s="1"/>
  <c r="M22" i="24"/>
  <c r="F22" i="24"/>
  <c r="AJ21" i="24"/>
  <c r="AJ33" i="24" s="1"/>
  <c r="AJ45" i="24" s="1"/>
  <c r="AJ57" i="24" s="1"/>
  <c r="AJ69" i="24" s="1"/>
  <c r="AJ81" i="24" s="1"/>
  <c r="AJ93" i="24" s="1"/>
  <c r="AJ105" i="24" s="1"/>
  <c r="AJ117" i="24" s="1"/>
  <c r="AJ129" i="24" s="1"/>
  <c r="AJ141" i="24" s="1"/>
  <c r="G21" i="24"/>
  <c r="AK21" i="24" s="1"/>
  <c r="F21" i="24"/>
  <c r="F20" i="24"/>
  <c r="F19" i="24"/>
  <c r="F18" i="24"/>
  <c r="F17" i="24"/>
  <c r="F16" i="24"/>
  <c r="F15" i="24"/>
  <c r="F14" i="24"/>
  <c r="F13" i="24"/>
  <c r="F12" i="24"/>
  <c r="F11" i="24"/>
  <c r="H10" i="24"/>
  <c r="H22" i="24" s="1"/>
  <c r="H34" i="24" s="1"/>
  <c r="H46" i="24" s="1"/>
  <c r="H58" i="24" s="1"/>
  <c r="H70" i="24" s="1"/>
  <c r="H82" i="24" s="1"/>
  <c r="H94" i="24" s="1"/>
  <c r="H106" i="24" s="1"/>
  <c r="H118" i="24" s="1"/>
  <c r="H130" i="24" s="1"/>
  <c r="H142" i="24" s="1"/>
  <c r="H154" i="24" s="1"/>
  <c r="F10" i="24"/>
  <c r="AK9" i="24"/>
  <c r="D8" i="24"/>
  <c r="K8" i="24" s="1"/>
  <c r="C8" i="24"/>
  <c r="A8" i="24"/>
  <c r="AE7" i="24"/>
  <c r="X7" i="24"/>
  <c r="K7" i="24"/>
  <c r="R7" i="24" s="1"/>
  <c r="Y7" i="24" s="1"/>
  <c r="D7" i="24"/>
  <c r="AF56" i="24" s="1"/>
  <c r="AH56" i="24" s="1"/>
  <c r="N6" i="24"/>
  <c r="U6" i="24" s="1"/>
  <c r="AB6" i="24" s="1"/>
  <c r="AI6" i="24" s="1"/>
  <c r="F5" i="24"/>
  <c r="N5" i="24" s="1"/>
  <c r="U5" i="24" s="1"/>
  <c r="AC4" i="24"/>
  <c r="V4" i="24"/>
  <c r="Q4" i="24"/>
  <c r="P4" i="24"/>
  <c r="I4" i="24"/>
  <c r="B4" i="24"/>
  <c r="P3" i="24"/>
  <c r="Q7" i="23"/>
  <c r="J7" i="23"/>
  <c r="C7" i="23"/>
  <c r="AD346" i="23"/>
  <c r="AC346" i="23"/>
  <c r="Q346" i="23"/>
  <c r="AA331" i="23"/>
  <c r="AA330" i="23"/>
  <c r="AH325" i="23"/>
  <c r="AH324" i="23"/>
  <c r="AH323" i="23"/>
  <c r="AH322" i="23"/>
  <c r="AH321" i="23"/>
  <c r="AH320" i="23"/>
  <c r="AH319" i="23"/>
  <c r="AH318" i="23"/>
  <c r="AH317" i="23"/>
  <c r="AH316" i="23"/>
  <c r="AH315" i="23"/>
  <c r="AH314" i="23"/>
  <c r="AH313" i="23"/>
  <c r="AH312" i="23"/>
  <c r="AH311" i="23"/>
  <c r="AH310" i="23"/>
  <c r="AJ309" i="23"/>
  <c r="AJ297" i="23"/>
  <c r="AJ285" i="23"/>
  <c r="AB285" i="23"/>
  <c r="AA285" i="23"/>
  <c r="T285" i="23"/>
  <c r="AA284" i="23"/>
  <c r="T284" i="23"/>
  <c r="AA283" i="23"/>
  <c r="T283" i="23"/>
  <c r="AA282" i="23"/>
  <c r="T282" i="23"/>
  <c r="AA281" i="23"/>
  <c r="T281" i="23"/>
  <c r="AA280" i="23"/>
  <c r="T280" i="23"/>
  <c r="AA279" i="23"/>
  <c r="T279" i="23"/>
  <c r="AA278" i="23"/>
  <c r="T278" i="23"/>
  <c r="AA277" i="23"/>
  <c r="T277" i="23"/>
  <c r="AA276" i="23"/>
  <c r="T276" i="23"/>
  <c r="AA275" i="23"/>
  <c r="T275" i="23"/>
  <c r="AA274" i="23"/>
  <c r="T274" i="23"/>
  <c r="O274" i="23"/>
  <c r="AJ273" i="23"/>
  <c r="AJ261" i="23"/>
  <c r="AJ249" i="23"/>
  <c r="AJ237" i="23"/>
  <c r="AJ225" i="23"/>
  <c r="AJ213" i="23"/>
  <c r="AJ201" i="23"/>
  <c r="T201" i="23"/>
  <c r="T200" i="23"/>
  <c r="T199" i="23"/>
  <c r="T198" i="23"/>
  <c r="T197" i="23"/>
  <c r="T196" i="23"/>
  <c r="T195" i="23"/>
  <c r="T194" i="23"/>
  <c r="T193" i="23"/>
  <c r="T192" i="23"/>
  <c r="T191" i="23"/>
  <c r="T190" i="23"/>
  <c r="U189" i="23"/>
  <c r="T189" i="23"/>
  <c r="T188" i="23"/>
  <c r="T187" i="23"/>
  <c r="T186" i="23"/>
  <c r="T185" i="23"/>
  <c r="T184" i="23"/>
  <c r="T183" i="23"/>
  <c r="T182" i="23"/>
  <c r="T181" i="23"/>
  <c r="T180" i="23"/>
  <c r="T179" i="23"/>
  <c r="T178" i="23"/>
  <c r="F169" i="23"/>
  <c r="F168" i="23"/>
  <c r="F167" i="23"/>
  <c r="F166" i="23"/>
  <c r="AI153" i="23"/>
  <c r="AH153" i="23"/>
  <c r="AB153" i="23"/>
  <c r="AA153" i="23"/>
  <c r="AH152" i="23"/>
  <c r="AA152" i="23"/>
  <c r="AH151" i="23"/>
  <c r="AA151" i="23"/>
  <c r="AH150" i="23"/>
  <c r="AA150" i="23"/>
  <c r="AH149" i="23"/>
  <c r="AA149" i="23"/>
  <c r="AH148" i="23"/>
  <c r="AA148" i="23"/>
  <c r="AH147" i="23"/>
  <c r="AA147" i="23"/>
  <c r="AH146" i="23"/>
  <c r="AA146" i="23"/>
  <c r="AH145" i="23"/>
  <c r="AA145" i="23"/>
  <c r="AH144" i="23"/>
  <c r="AA144" i="23"/>
  <c r="AH143" i="23"/>
  <c r="AA143" i="23"/>
  <c r="AH142" i="23"/>
  <c r="AA142" i="23"/>
  <c r="AI141" i="23"/>
  <c r="AH141" i="23"/>
  <c r="AB141" i="23"/>
  <c r="AA141" i="23"/>
  <c r="AH140" i="23"/>
  <c r="AA140" i="23"/>
  <c r="AH139" i="23"/>
  <c r="AA139" i="23"/>
  <c r="AH138" i="23"/>
  <c r="AA138" i="23"/>
  <c r="AH137" i="23"/>
  <c r="AA137" i="23"/>
  <c r="AH136" i="23"/>
  <c r="AA136" i="23"/>
  <c r="AH135" i="23"/>
  <c r="AA135" i="23"/>
  <c r="AH134" i="23"/>
  <c r="AA134" i="23"/>
  <c r="AH133" i="23"/>
  <c r="AA133" i="23"/>
  <c r="AH132" i="23"/>
  <c r="AA132" i="23"/>
  <c r="AH131" i="23"/>
  <c r="AA131" i="23"/>
  <c r="AH130" i="23"/>
  <c r="AA130" i="23"/>
  <c r="AI129" i="23"/>
  <c r="AH129" i="23"/>
  <c r="AB129" i="23"/>
  <c r="AA129" i="23"/>
  <c r="AH128" i="23"/>
  <c r="AA128" i="23"/>
  <c r="AH127" i="23"/>
  <c r="AA127" i="23"/>
  <c r="AH126" i="23"/>
  <c r="AA126" i="23"/>
  <c r="AH125" i="23"/>
  <c r="AA125" i="23"/>
  <c r="AH124" i="23"/>
  <c r="AA124" i="23"/>
  <c r="AH123" i="23"/>
  <c r="AA123" i="23"/>
  <c r="AH122" i="23"/>
  <c r="AA122" i="23"/>
  <c r="AH121" i="23"/>
  <c r="AA121" i="23"/>
  <c r="AH120" i="23"/>
  <c r="AA120" i="23"/>
  <c r="AH119" i="23"/>
  <c r="AA119" i="23"/>
  <c r="AH118" i="23"/>
  <c r="AA118" i="23"/>
  <c r="AI117" i="23"/>
  <c r="AH117" i="23"/>
  <c r="AB117" i="23"/>
  <c r="AA117" i="23"/>
  <c r="AH116" i="23"/>
  <c r="AA116" i="23"/>
  <c r="AH115" i="23"/>
  <c r="AA115" i="23"/>
  <c r="AH114" i="23"/>
  <c r="AA114" i="23"/>
  <c r="AH113" i="23"/>
  <c r="AA113" i="23"/>
  <c r="AH112" i="23"/>
  <c r="AA112" i="23"/>
  <c r="AH111" i="23"/>
  <c r="AA111" i="23"/>
  <c r="AH110" i="23"/>
  <c r="AA110" i="23"/>
  <c r="AH109" i="23"/>
  <c r="AA109" i="23"/>
  <c r="AH108" i="23"/>
  <c r="AA108" i="23"/>
  <c r="AH107" i="23"/>
  <c r="AA107" i="23"/>
  <c r="AH106" i="23"/>
  <c r="AA106" i="23"/>
  <c r="AI105" i="23"/>
  <c r="AH105" i="23"/>
  <c r="AB105" i="23"/>
  <c r="AA105" i="23"/>
  <c r="AH104" i="23"/>
  <c r="AA104" i="23"/>
  <c r="AH103" i="23"/>
  <c r="AA103" i="23"/>
  <c r="AH102" i="23"/>
  <c r="AA102" i="23"/>
  <c r="AH101" i="23"/>
  <c r="AA101" i="23"/>
  <c r="AH100" i="23"/>
  <c r="AA100" i="23"/>
  <c r="AH99" i="23"/>
  <c r="AA99" i="23"/>
  <c r="AH98" i="23"/>
  <c r="AA98" i="23"/>
  <c r="AH97" i="23"/>
  <c r="AA97" i="23"/>
  <c r="AH96" i="23"/>
  <c r="AA96" i="23"/>
  <c r="AH95" i="23"/>
  <c r="AA95" i="23"/>
  <c r="AH94" i="23"/>
  <c r="AA94" i="23"/>
  <c r="AI93" i="23"/>
  <c r="AH93" i="23"/>
  <c r="AB93" i="23"/>
  <c r="AA93" i="23"/>
  <c r="AH92" i="23"/>
  <c r="AA92" i="23"/>
  <c r="AH91" i="23"/>
  <c r="AA91" i="23"/>
  <c r="AH90" i="23"/>
  <c r="AA90" i="23"/>
  <c r="AH89" i="23"/>
  <c r="AA89" i="23"/>
  <c r="AH88" i="23"/>
  <c r="AA88" i="23"/>
  <c r="AH87" i="23"/>
  <c r="AA87" i="23"/>
  <c r="AH86" i="23"/>
  <c r="AA86" i="23"/>
  <c r="AH85" i="23"/>
  <c r="AA85" i="23"/>
  <c r="AH84" i="23"/>
  <c r="AA84" i="23"/>
  <c r="AH83" i="23"/>
  <c r="AA83" i="23"/>
  <c r="AH82" i="23"/>
  <c r="AA82" i="23"/>
  <c r="AI81" i="23"/>
  <c r="AH81" i="23"/>
  <c r="AB81" i="23"/>
  <c r="AA81" i="23"/>
  <c r="AH80" i="23"/>
  <c r="AA80" i="23"/>
  <c r="AH79" i="23"/>
  <c r="AA79" i="23"/>
  <c r="AH78" i="23"/>
  <c r="AA78" i="23"/>
  <c r="AH77" i="23"/>
  <c r="AA77" i="23"/>
  <c r="AH76" i="23"/>
  <c r="AA76" i="23"/>
  <c r="AH75" i="23"/>
  <c r="AA75" i="23"/>
  <c r="AH74" i="23"/>
  <c r="AA74" i="23"/>
  <c r="AH73" i="23"/>
  <c r="AA73" i="23"/>
  <c r="AH72" i="23"/>
  <c r="AA72" i="23"/>
  <c r="AH71" i="23"/>
  <c r="AA71" i="23"/>
  <c r="AH70" i="23"/>
  <c r="AA70" i="23"/>
  <c r="N45" i="23"/>
  <c r="F347" i="23" s="1"/>
  <c r="M45" i="23"/>
  <c r="G45" i="23"/>
  <c r="F346" i="23" s="1"/>
  <c r="F45" i="23"/>
  <c r="M44" i="23"/>
  <c r="F44" i="23"/>
  <c r="M43" i="23"/>
  <c r="F43" i="23"/>
  <c r="M42" i="23"/>
  <c r="F42" i="23"/>
  <c r="M41" i="23"/>
  <c r="F41" i="23"/>
  <c r="M40" i="23"/>
  <c r="F40" i="23"/>
  <c r="M39" i="23"/>
  <c r="F39" i="23"/>
  <c r="M38" i="23"/>
  <c r="F38" i="23"/>
  <c r="M37" i="23"/>
  <c r="F37" i="23"/>
  <c r="M36" i="23"/>
  <c r="F36" i="23"/>
  <c r="M35" i="23"/>
  <c r="F35" i="23"/>
  <c r="M34" i="23"/>
  <c r="F34" i="23"/>
  <c r="A34" i="23"/>
  <c r="A46" i="23" s="1"/>
  <c r="A58" i="23" s="1"/>
  <c r="A70" i="23" s="1"/>
  <c r="A82" i="23" s="1"/>
  <c r="A94" i="23" s="1"/>
  <c r="A106" i="23" s="1"/>
  <c r="A118" i="23" s="1"/>
  <c r="A130" i="23" s="1"/>
  <c r="A142" i="23" s="1"/>
  <c r="A154" i="23" s="1"/>
  <c r="N33" i="23"/>
  <c r="M33" i="23"/>
  <c r="G33" i="23"/>
  <c r="E346" i="23" s="1"/>
  <c r="F33" i="23"/>
  <c r="M32" i="23"/>
  <c r="F32" i="23"/>
  <c r="M31" i="23"/>
  <c r="F31" i="23"/>
  <c r="M30" i="23"/>
  <c r="F30" i="23"/>
  <c r="M29" i="23"/>
  <c r="F29" i="23"/>
  <c r="M28" i="23"/>
  <c r="F28" i="23"/>
  <c r="M27" i="23"/>
  <c r="F27" i="23"/>
  <c r="M26" i="23"/>
  <c r="F26" i="23"/>
  <c r="M25" i="23"/>
  <c r="F25" i="23"/>
  <c r="M24" i="23"/>
  <c r="F24" i="23"/>
  <c r="M23" i="23"/>
  <c r="F23" i="23"/>
  <c r="AC22" i="23"/>
  <c r="AC34" i="23" s="1"/>
  <c r="AC46" i="23" s="1"/>
  <c r="AC58" i="23" s="1"/>
  <c r="AC70" i="23" s="1"/>
  <c r="AC82" i="23" s="1"/>
  <c r="AC94" i="23" s="1"/>
  <c r="AC106" i="23" s="1"/>
  <c r="AC118" i="23" s="1"/>
  <c r="AC130" i="23" s="1"/>
  <c r="V22" i="23"/>
  <c r="V34" i="23" s="1"/>
  <c r="V46" i="23" s="1"/>
  <c r="V58" i="23" s="1"/>
  <c r="V70" i="23" s="1"/>
  <c r="V82" i="23" s="1"/>
  <c r="V94" i="23" s="1"/>
  <c r="V106" i="23" s="1"/>
  <c r="V118" i="23" s="1"/>
  <c r="V130" i="23" s="1"/>
  <c r="M22" i="23"/>
  <c r="F22" i="23"/>
  <c r="AJ21" i="23"/>
  <c r="AJ33" i="23" s="1"/>
  <c r="AJ45" i="23" s="1"/>
  <c r="AJ57" i="23" s="1"/>
  <c r="AJ69" i="23" s="1"/>
  <c r="AJ81" i="23" s="1"/>
  <c r="AJ93" i="23" s="1"/>
  <c r="AJ105" i="23" s="1"/>
  <c r="AJ117" i="23" s="1"/>
  <c r="AJ129" i="23" s="1"/>
  <c r="AJ141" i="23" s="1"/>
  <c r="G21" i="23"/>
  <c r="F21" i="23"/>
  <c r="F20" i="23"/>
  <c r="F19" i="23"/>
  <c r="F18" i="23"/>
  <c r="F17" i="23"/>
  <c r="F16" i="23"/>
  <c r="F15" i="23"/>
  <c r="F14" i="23"/>
  <c r="F13" i="23"/>
  <c r="F12" i="23"/>
  <c r="F11" i="23"/>
  <c r="O10" i="23"/>
  <c r="O22" i="23" s="1"/>
  <c r="O34" i="23" s="1"/>
  <c r="O46" i="23" s="1"/>
  <c r="O58" i="23" s="1"/>
  <c r="O70" i="23" s="1"/>
  <c r="O82" i="23" s="1"/>
  <c r="O94" i="23" s="1"/>
  <c r="O106" i="23" s="1"/>
  <c r="O118" i="23" s="1"/>
  <c r="O130" i="23" s="1"/>
  <c r="O142" i="23" s="1"/>
  <c r="H10" i="23"/>
  <c r="H22" i="23" s="1"/>
  <c r="H34" i="23" s="1"/>
  <c r="H46" i="23" s="1"/>
  <c r="H58" i="23" s="1"/>
  <c r="H70" i="23" s="1"/>
  <c r="H82" i="23" s="1"/>
  <c r="H94" i="23" s="1"/>
  <c r="H106" i="23" s="1"/>
  <c r="H118" i="23" s="1"/>
  <c r="H130" i="23" s="1"/>
  <c r="H142" i="23" s="1"/>
  <c r="H154" i="23" s="1"/>
  <c r="F10" i="23"/>
  <c r="AK9" i="23"/>
  <c r="D8" i="23"/>
  <c r="K8" i="23" s="1"/>
  <c r="AE7" i="23"/>
  <c r="X7" i="23"/>
  <c r="D7" i="23"/>
  <c r="N6" i="23"/>
  <c r="U6" i="23" s="1"/>
  <c r="AB6" i="23" s="1"/>
  <c r="AI6" i="23" s="1"/>
  <c r="M5" i="23"/>
  <c r="T5" i="23" s="1"/>
  <c r="AC4" i="23"/>
  <c r="V4" i="23"/>
  <c r="Q4" i="23"/>
  <c r="P4" i="23"/>
  <c r="I4" i="23"/>
  <c r="B4" i="23"/>
  <c r="P3" i="23"/>
  <c r="AF37" i="24" l="1"/>
  <c r="AH37" i="24" s="1"/>
  <c r="Y39" i="24"/>
  <c r="AA39" i="24" s="1"/>
  <c r="O10" i="25"/>
  <c r="O22" i="25" s="1"/>
  <c r="O34" i="25" s="1"/>
  <c r="O46" i="25" s="1"/>
  <c r="O58" i="25" s="1"/>
  <c r="O70" i="25" s="1"/>
  <c r="O82" i="25" s="1"/>
  <c r="O94" i="25" s="1"/>
  <c r="O106" i="25" s="1"/>
  <c r="O118" i="25" s="1"/>
  <c r="O130" i="25" s="1"/>
  <c r="O142" i="25" s="1"/>
  <c r="L129" i="25"/>
  <c r="E64" i="26"/>
  <c r="AF38" i="24"/>
  <c r="AH38" i="24" s="1"/>
  <c r="Y40" i="24"/>
  <c r="AA40" i="24" s="1"/>
  <c r="E56" i="24"/>
  <c r="L106" i="24"/>
  <c r="AK4" i="23"/>
  <c r="AL4" i="23" s="1"/>
  <c r="AF34" i="24"/>
  <c r="AH34" i="24" s="1"/>
  <c r="AF41" i="24"/>
  <c r="AH41" i="24" s="1"/>
  <c r="AF42" i="24"/>
  <c r="AH42" i="24" s="1"/>
  <c r="H22" i="26"/>
  <c r="H34" i="26" s="1"/>
  <c r="H46" i="26" s="1"/>
  <c r="H58" i="26" s="1"/>
  <c r="H70" i="26" s="1"/>
  <c r="H82" i="26" s="1"/>
  <c r="H94" i="26" s="1"/>
  <c r="H106" i="26" s="1"/>
  <c r="H118" i="26" s="1"/>
  <c r="H130" i="26" s="1"/>
  <c r="H142" i="26" s="1"/>
  <c r="H154" i="26" s="1"/>
  <c r="J46" i="25"/>
  <c r="Y35" i="24"/>
  <c r="AA35" i="24" s="1"/>
  <c r="Y36" i="24"/>
  <c r="AA36" i="24" s="1"/>
  <c r="Y43" i="24"/>
  <c r="AA43" i="24" s="1"/>
  <c r="Y44" i="24"/>
  <c r="AA44" i="24" s="1"/>
  <c r="F347" i="26"/>
  <c r="O154" i="26"/>
  <c r="AJ153" i="26"/>
  <c r="L154" i="26"/>
  <c r="L141" i="26"/>
  <c r="L129" i="26"/>
  <c r="L165" i="26"/>
  <c r="L164" i="26"/>
  <c r="L162" i="26"/>
  <c r="L160" i="26"/>
  <c r="L158" i="26"/>
  <c r="L156" i="26"/>
  <c r="L151" i="26"/>
  <c r="L149" i="26"/>
  <c r="L147" i="26"/>
  <c r="L145" i="26"/>
  <c r="L143" i="26"/>
  <c r="L140" i="26"/>
  <c r="L138" i="26"/>
  <c r="L136" i="26"/>
  <c r="L134" i="26"/>
  <c r="L132" i="26"/>
  <c r="L128" i="26"/>
  <c r="L126" i="26"/>
  <c r="L124" i="26"/>
  <c r="L122" i="26"/>
  <c r="L120" i="26"/>
  <c r="L116" i="26"/>
  <c r="L114" i="26"/>
  <c r="L112" i="26"/>
  <c r="L110" i="26"/>
  <c r="L153" i="26"/>
  <c r="L142" i="26"/>
  <c r="L130" i="26"/>
  <c r="L163" i="26"/>
  <c r="L161" i="26"/>
  <c r="L159" i="26"/>
  <c r="L157" i="26"/>
  <c r="L155" i="26"/>
  <c r="L152" i="26"/>
  <c r="L150" i="26"/>
  <c r="L148" i="26"/>
  <c r="L146" i="26"/>
  <c r="L144" i="26"/>
  <c r="L139" i="26"/>
  <c r="L137" i="26"/>
  <c r="L135" i="26"/>
  <c r="L133" i="26"/>
  <c r="L131" i="26"/>
  <c r="L127" i="26"/>
  <c r="L125" i="26"/>
  <c r="L123" i="26"/>
  <c r="L121" i="26"/>
  <c r="L119" i="26"/>
  <c r="L115" i="26"/>
  <c r="L113" i="26"/>
  <c r="L111" i="26"/>
  <c r="L109" i="26"/>
  <c r="Z273" i="26"/>
  <c r="Z272" i="26"/>
  <c r="Z271" i="26"/>
  <c r="Z270" i="26"/>
  <c r="Z269" i="26"/>
  <c r="Z268" i="26"/>
  <c r="Z267" i="26"/>
  <c r="Z266" i="26"/>
  <c r="Z265" i="26"/>
  <c r="Z264" i="26"/>
  <c r="Z263" i="26"/>
  <c r="Z262" i="26"/>
  <c r="Z261" i="26"/>
  <c r="Z260" i="26"/>
  <c r="Z259" i="26"/>
  <c r="Z258" i="26"/>
  <c r="Z257" i="26"/>
  <c r="Z256" i="26"/>
  <c r="Z255" i="26"/>
  <c r="Z254" i="26"/>
  <c r="Z253" i="26"/>
  <c r="Z252" i="26"/>
  <c r="Z251" i="26"/>
  <c r="Z250" i="26"/>
  <c r="Z249" i="26"/>
  <c r="Z248" i="26"/>
  <c r="Z247" i="26"/>
  <c r="Z246" i="26"/>
  <c r="Z245" i="26"/>
  <c r="Z244" i="26"/>
  <c r="Z243" i="26"/>
  <c r="Z242" i="26"/>
  <c r="Z241" i="26"/>
  <c r="Z240" i="26"/>
  <c r="Z239" i="26"/>
  <c r="Z238" i="26"/>
  <c r="Z237" i="26"/>
  <c r="Z236" i="26"/>
  <c r="Z235" i="26"/>
  <c r="Z234" i="26"/>
  <c r="Z233" i="26"/>
  <c r="Z232" i="26"/>
  <c r="Z231" i="26"/>
  <c r="Z230" i="26"/>
  <c r="Z229" i="26"/>
  <c r="Z228" i="26"/>
  <c r="Z227" i="26"/>
  <c r="Z226" i="26"/>
  <c r="Z225" i="26"/>
  <c r="Z224" i="26"/>
  <c r="Z223" i="26"/>
  <c r="Z222" i="26"/>
  <c r="Z221" i="26"/>
  <c r="Z220" i="26"/>
  <c r="Z219" i="26"/>
  <c r="Z218" i="26"/>
  <c r="Z217" i="26"/>
  <c r="Z216" i="26"/>
  <c r="Z215" i="26"/>
  <c r="Z214" i="26"/>
  <c r="Z213" i="26"/>
  <c r="Z212" i="26"/>
  <c r="Z211" i="26"/>
  <c r="Z210" i="26"/>
  <c r="Z209" i="26"/>
  <c r="Z208" i="26"/>
  <c r="Z207" i="26"/>
  <c r="Z206" i="26"/>
  <c r="Z205" i="26"/>
  <c r="Z204" i="26"/>
  <c r="Z203" i="26"/>
  <c r="Z202" i="26"/>
  <c r="Z201" i="26"/>
  <c r="Z197" i="26"/>
  <c r="Z198" i="26"/>
  <c r="Z194" i="26"/>
  <c r="Z190" i="26"/>
  <c r="Z187" i="26"/>
  <c r="Z185" i="26"/>
  <c r="Z183" i="26"/>
  <c r="Z181" i="26"/>
  <c r="Z199" i="26"/>
  <c r="Z200" i="26"/>
  <c r="Z196" i="26"/>
  <c r="Z192" i="26"/>
  <c r="Z188" i="26"/>
  <c r="Z186" i="26"/>
  <c r="Z184" i="26"/>
  <c r="Z182" i="26"/>
  <c r="Z189" i="26"/>
  <c r="Z180" i="26"/>
  <c r="Z178" i="26"/>
  <c r="Z175" i="26"/>
  <c r="Z173" i="26"/>
  <c r="Z171" i="26"/>
  <c r="Z169" i="26"/>
  <c r="Z167" i="26"/>
  <c r="Z193" i="26"/>
  <c r="Z177" i="26"/>
  <c r="Z164" i="26"/>
  <c r="Z162" i="26"/>
  <c r="Z160" i="26"/>
  <c r="Z158" i="26"/>
  <c r="Z156" i="26"/>
  <c r="Z154" i="26"/>
  <c r="Z179" i="26"/>
  <c r="Z176" i="26"/>
  <c r="Z174" i="26"/>
  <c r="Z172" i="26"/>
  <c r="Z170" i="26"/>
  <c r="Z168" i="26"/>
  <c r="Z166" i="26"/>
  <c r="Z195" i="26"/>
  <c r="Z191" i="26"/>
  <c r="Z165" i="26"/>
  <c r="Z163" i="26"/>
  <c r="Z161" i="26"/>
  <c r="Z159" i="26"/>
  <c r="Z157" i="26"/>
  <c r="Z155" i="26"/>
  <c r="X154" i="26"/>
  <c r="AF34" i="26"/>
  <c r="Y36" i="26"/>
  <c r="AA36" i="26" s="1"/>
  <c r="AF38" i="26"/>
  <c r="AH38" i="26" s="1"/>
  <c r="Y40" i="26"/>
  <c r="AA40" i="26" s="1"/>
  <c r="AF42" i="26"/>
  <c r="AH42" i="26" s="1"/>
  <c r="Y44" i="26"/>
  <c r="AA44" i="26" s="1"/>
  <c r="J46" i="26"/>
  <c r="AF48" i="26"/>
  <c r="AH48" i="26" s="1"/>
  <c r="E49" i="26"/>
  <c r="L49" i="26"/>
  <c r="Y50" i="26"/>
  <c r="AA50" i="26" s="1"/>
  <c r="AF52" i="26"/>
  <c r="AH52" i="26" s="1"/>
  <c r="E53" i="26"/>
  <c r="L53" i="26"/>
  <c r="Y54" i="26"/>
  <c r="AA54" i="26" s="1"/>
  <c r="AF56" i="26"/>
  <c r="AH56" i="26" s="1"/>
  <c r="E57" i="26"/>
  <c r="AF60" i="26"/>
  <c r="AH60" i="26" s="1"/>
  <c r="E61" i="26"/>
  <c r="L61" i="26"/>
  <c r="Y62" i="26"/>
  <c r="AA62" i="26" s="1"/>
  <c r="AF64" i="26"/>
  <c r="AH64" i="26" s="1"/>
  <c r="E65" i="26"/>
  <c r="L65" i="26"/>
  <c r="Y66" i="26"/>
  <c r="AA66" i="26" s="1"/>
  <c r="AF68" i="26"/>
  <c r="AH68" i="26" s="1"/>
  <c r="L81" i="26"/>
  <c r="L93" i="26"/>
  <c r="L105" i="26"/>
  <c r="L117" i="26"/>
  <c r="E347" i="26"/>
  <c r="AF35" i="26"/>
  <c r="AH35" i="26" s="1"/>
  <c r="Y37" i="26"/>
  <c r="AA37" i="26" s="1"/>
  <c r="AF39" i="26"/>
  <c r="AH39" i="26" s="1"/>
  <c r="Y41" i="26"/>
  <c r="AA41" i="26" s="1"/>
  <c r="AF43" i="26"/>
  <c r="AH43" i="26" s="1"/>
  <c r="C46" i="26"/>
  <c r="Y46" i="26"/>
  <c r="AF47" i="26"/>
  <c r="AH47" i="26" s="1"/>
  <c r="E48" i="26"/>
  <c r="L48" i="26"/>
  <c r="Y49" i="26"/>
  <c r="AA49" i="26" s="1"/>
  <c r="AF51" i="26"/>
  <c r="AH51" i="26" s="1"/>
  <c r="E52" i="26"/>
  <c r="L52" i="26"/>
  <c r="Y53" i="26"/>
  <c r="AA53" i="26" s="1"/>
  <c r="AF55" i="26"/>
  <c r="AH55" i="26" s="1"/>
  <c r="E56" i="26"/>
  <c r="L56" i="26"/>
  <c r="Y58" i="26"/>
  <c r="AF59" i="26"/>
  <c r="AH59" i="26" s="1"/>
  <c r="E60" i="26"/>
  <c r="L60" i="26"/>
  <c r="Y61" i="26"/>
  <c r="AA61" i="26" s="1"/>
  <c r="AF63" i="26"/>
  <c r="AH63" i="26" s="1"/>
  <c r="L64" i="26"/>
  <c r="Y65" i="26"/>
  <c r="AA65" i="26" s="1"/>
  <c r="AF67" i="26"/>
  <c r="AH67" i="26" s="1"/>
  <c r="L68" i="26"/>
  <c r="L71" i="26"/>
  <c r="L73" i="26"/>
  <c r="L75" i="26"/>
  <c r="L77" i="26"/>
  <c r="L79" i="26"/>
  <c r="L83" i="26"/>
  <c r="L85" i="26"/>
  <c r="L87" i="26"/>
  <c r="L89" i="26"/>
  <c r="L91" i="26"/>
  <c r="L95" i="26"/>
  <c r="L97" i="26"/>
  <c r="L99" i="26"/>
  <c r="L101" i="26"/>
  <c r="L103" i="26"/>
  <c r="L107" i="26"/>
  <c r="AG309" i="26"/>
  <c r="AG308" i="26"/>
  <c r="AG307" i="26"/>
  <c r="AG306" i="26"/>
  <c r="AG305" i="26"/>
  <c r="AG304" i="26"/>
  <c r="AG303" i="26"/>
  <c r="AG302" i="26"/>
  <c r="AG301" i="26"/>
  <c r="AG300" i="26"/>
  <c r="AG299" i="26"/>
  <c r="AG298" i="26"/>
  <c r="AG272" i="26"/>
  <c r="AG271" i="26"/>
  <c r="AG270" i="26"/>
  <c r="AG269" i="26"/>
  <c r="AG268" i="26"/>
  <c r="AG267" i="26"/>
  <c r="AG266" i="26"/>
  <c r="AG265" i="26"/>
  <c r="AG264" i="26"/>
  <c r="AG263" i="26"/>
  <c r="AG262" i="26"/>
  <c r="AG260" i="26"/>
  <c r="AG259" i="26"/>
  <c r="AG258" i="26"/>
  <c r="AG257" i="26"/>
  <c r="AG256" i="26"/>
  <c r="AG255" i="26"/>
  <c r="AG254" i="26"/>
  <c r="AG253" i="26"/>
  <c r="AG252" i="26"/>
  <c r="AG251" i="26"/>
  <c r="AG250" i="26"/>
  <c r="AG248" i="26"/>
  <c r="AG247" i="26"/>
  <c r="AG246" i="26"/>
  <c r="AG245" i="26"/>
  <c r="AG244" i="26"/>
  <c r="AG243" i="26"/>
  <c r="AG242" i="26"/>
  <c r="AG241" i="26"/>
  <c r="AG240" i="26"/>
  <c r="AG239" i="26"/>
  <c r="AG238" i="26"/>
  <c r="AG236" i="26"/>
  <c r="AG235" i="26"/>
  <c r="AG234" i="26"/>
  <c r="AG233" i="26"/>
  <c r="AG232" i="26"/>
  <c r="AG231" i="26"/>
  <c r="AG230" i="26"/>
  <c r="AG229" i="26"/>
  <c r="AG228" i="26"/>
  <c r="AG227" i="26"/>
  <c r="AG226" i="26"/>
  <c r="AG224" i="26"/>
  <c r="AG223" i="26"/>
  <c r="AG222" i="26"/>
  <c r="AG221" i="26"/>
  <c r="AG220" i="26"/>
  <c r="AG219" i="26"/>
  <c r="AG218" i="26"/>
  <c r="AG217" i="26"/>
  <c r="AG216" i="26"/>
  <c r="AG215" i="26"/>
  <c r="AG214" i="26"/>
  <c r="AG212" i="26"/>
  <c r="AG211" i="26"/>
  <c r="AG210" i="26"/>
  <c r="AG209" i="26"/>
  <c r="AG208" i="26"/>
  <c r="AG207" i="26"/>
  <c r="AG206" i="26"/>
  <c r="AG205" i="26"/>
  <c r="AG204" i="26"/>
  <c r="AG203" i="26"/>
  <c r="AG202" i="26"/>
  <c r="AG197" i="26"/>
  <c r="AG297" i="26"/>
  <c r="AG296" i="26"/>
  <c r="AG295" i="26"/>
  <c r="AG294" i="26"/>
  <c r="AG293" i="26"/>
  <c r="AG292" i="26"/>
  <c r="AG291" i="26"/>
  <c r="AG290" i="26"/>
  <c r="AG289" i="26"/>
  <c r="AG288" i="26"/>
  <c r="AG287" i="26"/>
  <c r="AG286" i="26"/>
  <c r="AG283" i="26"/>
  <c r="AG281" i="26"/>
  <c r="AG279" i="26"/>
  <c r="AG277" i="26"/>
  <c r="AG275" i="26"/>
  <c r="AG273" i="26"/>
  <c r="AG261" i="26"/>
  <c r="AG249" i="26"/>
  <c r="AG237" i="26"/>
  <c r="AG225" i="26"/>
  <c r="AG213" i="26"/>
  <c r="AG201" i="26"/>
  <c r="AG198" i="26"/>
  <c r="AG194" i="26"/>
  <c r="AG190" i="26"/>
  <c r="AG285" i="26"/>
  <c r="AG199" i="26"/>
  <c r="AG284" i="26"/>
  <c r="AG282" i="26"/>
  <c r="AG280" i="26"/>
  <c r="AG278" i="26"/>
  <c r="AG276" i="26"/>
  <c r="AG274" i="26"/>
  <c r="AG200" i="26"/>
  <c r="AG196" i="26"/>
  <c r="AG192" i="26"/>
  <c r="AE190" i="26"/>
  <c r="AG195" i="26"/>
  <c r="AG191" i="26"/>
  <c r="AG193" i="26"/>
  <c r="AF36" i="26"/>
  <c r="AH36" i="26" s="1"/>
  <c r="Y38" i="26"/>
  <c r="AA38" i="26" s="1"/>
  <c r="AF40" i="26"/>
  <c r="AH40" i="26" s="1"/>
  <c r="Y42" i="26"/>
  <c r="AA42" i="26" s="1"/>
  <c r="AF44" i="26"/>
  <c r="AH44" i="26" s="1"/>
  <c r="Y45" i="26"/>
  <c r="AA45" i="26" s="1"/>
  <c r="L46" i="26"/>
  <c r="AF46" i="26"/>
  <c r="E47" i="26"/>
  <c r="L47" i="26"/>
  <c r="Y48" i="26"/>
  <c r="AA48" i="26" s="1"/>
  <c r="AF50" i="26"/>
  <c r="AH50" i="26" s="1"/>
  <c r="E51" i="26"/>
  <c r="L51" i="26"/>
  <c r="Y52" i="26"/>
  <c r="AA52" i="26" s="1"/>
  <c r="AF54" i="26"/>
  <c r="AH54" i="26" s="1"/>
  <c r="E55" i="26"/>
  <c r="L55" i="26"/>
  <c r="Y56" i="26"/>
  <c r="AA56" i="26" s="1"/>
  <c r="Y57" i="26"/>
  <c r="AA57" i="26" s="1"/>
  <c r="L58" i="26"/>
  <c r="AF58" i="26"/>
  <c r="E59" i="26"/>
  <c r="L59" i="26"/>
  <c r="Y60" i="26"/>
  <c r="AA60" i="26" s="1"/>
  <c r="AF62" i="26"/>
  <c r="AH62" i="26" s="1"/>
  <c r="E63" i="26"/>
  <c r="L63" i="26"/>
  <c r="Y64" i="26"/>
  <c r="AA64" i="26" s="1"/>
  <c r="AF66" i="26"/>
  <c r="AH66" i="26" s="1"/>
  <c r="E67" i="26"/>
  <c r="L67" i="26"/>
  <c r="Y68" i="26"/>
  <c r="AA68" i="26" s="1"/>
  <c r="Y69" i="26"/>
  <c r="AA69" i="26" s="1"/>
  <c r="L70" i="26"/>
  <c r="L82" i="26"/>
  <c r="L94" i="26"/>
  <c r="L106" i="26"/>
  <c r="K7" i="26"/>
  <c r="R7" i="26" s="1"/>
  <c r="Y7" i="26" s="1"/>
  <c r="AK21" i="26"/>
  <c r="AK33" i="26"/>
  <c r="Y34" i="26"/>
  <c r="Y35" i="26"/>
  <c r="AA35" i="26" s="1"/>
  <c r="AF37" i="26"/>
  <c r="AH37" i="26" s="1"/>
  <c r="Y39" i="26"/>
  <c r="AA39" i="26" s="1"/>
  <c r="AF41" i="26"/>
  <c r="AH41" i="26" s="1"/>
  <c r="Y43" i="26"/>
  <c r="AA43" i="26" s="1"/>
  <c r="AF45" i="26"/>
  <c r="AH45" i="26" s="1"/>
  <c r="E46" i="26"/>
  <c r="Y47" i="26"/>
  <c r="AA47" i="26" s="1"/>
  <c r="AF49" i="26"/>
  <c r="AH49" i="26" s="1"/>
  <c r="E50" i="26"/>
  <c r="L50" i="26"/>
  <c r="Y51" i="26"/>
  <c r="AA51" i="26" s="1"/>
  <c r="AF53" i="26"/>
  <c r="AH53" i="26" s="1"/>
  <c r="E54" i="26"/>
  <c r="L54" i="26"/>
  <c r="Y55" i="26"/>
  <c r="AA55" i="26" s="1"/>
  <c r="L57" i="26"/>
  <c r="AF57" i="26"/>
  <c r="AH57" i="26" s="1"/>
  <c r="E58" i="26"/>
  <c r="Y59" i="26"/>
  <c r="AA59" i="26" s="1"/>
  <c r="AF61" i="26"/>
  <c r="AH61" i="26" s="1"/>
  <c r="E62" i="26"/>
  <c r="L62" i="26"/>
  <c r="Y63" i="26"/>
  <c r="AA63" i="26" s="1"/>
  <c r="AF65" i="26"/>
  <c r="AH65" i="26" s="1"/>
  <c r="E66" i="26"/>
  <c r="L66" i="26"/>
  <c r="Y67" i="26"/>
  <c r="AA67" i="26" s="1"/>
  <c r="L69" i="26"/>
  <c r="L72" i="26"/>
  <c r="L74" i="26"/>
  <c r="L76" i="26"/>
  <c r="L78" i="26"/>
  <c r="L80" i="26"/>
  <c r="L84" i="26"/>
  <c r="L86" i="26"/>
  <c r="L88" i="26"/>
  <c r="L90" i="26"/>
  <c r="L92" i="26"/>
  <c r="L96" i="26"/>
  <c r="L98" i="26"/>
  <c r="L100" i="26"/>
  <c r="L102" i="26"/>
  <c r="L104" i="26"/>
  <c r="L108" i="26"/>
  <c r="L118" i="26"/>
  <c r="O154" i="25"/>
  <c r="AJ153" i="25"/>
  <c r="E347" i="25"/>
  <c r="K7" i="25"/>
  <c r="R7" i="25" s="1"/>
  <c r="Y7" i="25" s="1"/>
  <c r="AF35" i="25"/>
  <c r="AH35" i="25" s="1"/>
  <c r="Y37" i="25"/>
  <c r="AA37" i="25" s="1"/>
  <c r="AF39" i="25"/>
  <c r="AH39" i="25" s="1"/>
  <c r="Y41" i="25"/>
  <c r="AA41" i="25" s="1"/>
  <c r="AF43" i="25"/>
  <c r="AH43" i="25" s="1"/>
  <c r="F347" i="25"/>
  <c r="C46" i="25"/>
  <c r="Y46" i="25"/>
  <c r="AF47" i="25"/>
  <c r="AH47" i="25" s="1"/>
  <c r="E48" i="25"/>
  <c r="L48" i="25"/>
  <c r="Y49" i="25"/>
  <c r="AA49" i="25" s="1"/>
  <c r="AF51" i="25"/>
  <c r="AH51" i="25" s="1"/>
  <c r="E52" i="25"/>
  <c r="L52" i="25"/>
  <c r="Y53" i="25"/>
  <c r="AA53" i="25" s="1"/>
  <c r="AF55" i="25"/>
  <c r="AH55" i="25" s="1"/>
  <c r="E56" i="25"/>
  <c r="L56" i="25"/>
  <c r="Y58" i="25"/>
  <c r="AF59" i="25"/>
  <c r="AH59" i="25" s="1"/>
  <c r="E60" i="25"/>
  <c r="L60" i="25"/>
  <c r="Y61" i="25"/>
  <c r="AA61" i="25" s="1"/>
  <c r="AF63" i="25"/>
  <c r="AH63" i="25" s="1"/>
  <c r="E64" i="25"/>
  <c r="L64" i="25"/>
  <c r="Y65" i="25"/>
  <c r="AA65" i="25" s="1"/>
  <c r="AF67" i="25"/>
  <c r="AH67" i="25" s="1"/>
  <c r="E68" i="25"/>
  <c r="L68" i="25"/>
  <c r="E71" i="25"/>
  <c r="L71" i="25"/>
  <c r="E73" i="25"/>
  <c r="L73" i="25"/>
  <c r="E75" i="25"/>
  <c r="L75" i="25"/>
  <c r="E77" i="25"/>
  <c r="L77" i="25"/>
  <c r="E79" i="25"/>
  <c r="L79" i="25"/>
  <c r="E81" i="25"/>
  <c r="E83" i="25"/>
  <c r="L83" i="25"/>
  <c r="E85" i="25"/>
  <c r="L85" i="25"/>
  <c r="E87" i="25"/>
  <c r="L87" i="25"/>
  <c r="E89" i="25"/>
  <c r="L89" i="25"/>
  <c r="E91" i="25"/>
  <c r="L91" i="25"/>
  <c r="E93" i="25"/>
  <c r="E95" i="25"/>
  <c r="L95" i="25"/>
  <c r="E97" i="25"/>
  <c r="L97" i="25"/>
  <c r="E99" i="25"/>
  <c r="L99" i="25"/>
  <c r="E101" i="25"/>
  <c r="L101" i="25"/>
  <c r="E103" i="25"/>
  <c r="L103" i="25"/>
  <c r="E105" i="25"/>
  <c r="E107" i="25"/>
  <c r="L107" i="25"/>
  <c r="L109" i="25"/>
  <c r="L111" i="25"/>
  <c r="L113" i="25"/>
  <c r="L115" i="25"/>
  <c r="L163" i="25"/>
  <c r="L161" i="25"/>
  <c r="L159" i="25"/>
  <c r="L157" i="25"/>
  <c r="L155" i="25"/>
  <c r="L152" i="25"/>
  <c r="L150" i="25"/>
  <c r="L148" i="25"/>
  <c r="L146" i="25"/>
  <c r="L144" i="25"/>
  <c r="L139" i="25"/>
  <c r="L137" i="25"/>
  <c r="L135" i="25"/>
  <c r="L133" i="25"/>
  <c r="L131" i="25"/>
  <c r="L165" i="25"/>
  <c r="L154" i="25"/>
  <c r="L141" i="25"/>
  <c r="L164" i="25"/>
  <c r="L162" i="25"/>
  <c r="L160" i="25"/>
  <c r="L158" i="25"/>
  <c r="L156" i="25"/>
  <c r="L151" i="25"/>
  <c r="L149" i="25"/>
  <c r="L147" i="25"/>
  <c r="L145" i="25"/>
  <c r="L143" i="25"/>
  <c r="L140" i="25"/>
  <c r="L138" i="25"/>
  <c r="L136" i="25"/>
  <c r="L134" i="25"/>
  <c r="L132" i="25"/>
  <c r="L128" i="25"/>
  <c r="L126" i="25"/>
  <c r="L124" i="25"/>
  <c r="L122" i="25"/>
  <c r="L120" i="25"/>
  <c r="L116" i="25"/>
  <c r="L114" i="25"/>
  <c r="L112" i="25"/>
  <c r="L110" i="25"/>
  <c r="L153" i="25"/>
  <c r="L142" i="25"/>
  <c r="L130" i="25"/>
  <c r="L118" i="25"/>
  <c r="Z273" i="25"/>
  <c r="Z272" i="25"/>
  <c r="Z271" i="25"/>
  <c r="Z270" i="25"/>
  <c r="Z269" i="25"/>
  <c r="Z268" i="25"/>
  <c r="Z267" i="25"/>
  <c r="Z266" i="25"/>
  <c r="Z265" i="25"/>
  <c r="Z264" i="25"/>
  <c r="Z263" i="25"/>
  <c r="Z262" i="25"/>
  <c r="Z261" i="25"/>
  <c r="Z260" i="25"/>
  <c r="Z259" i="25"/>
  <c r="Z258" i="25"/>
  <c r="Z257" i="25"/>
  <c r="Z256" i="25"/>
  <c r="Z255" i="25"/>
  <c r="Z254" i="25"/>
  <c r="Z253" i="25"/>
  <c r="Z252" i="25"/>
  <c r="Z251" i="25"/>
  <c r="Z250" i="25"/>
  <c r="Z249" i="25"/>
  <c r="Z248" i="25"/>
  <c r="Z247" i="25"/>
  <c r="Z246" i="25"/>
  <c r="Z245" i="25"/>
  <c r="Z244" i="25"/>
  <c r="Z243" i="25"/>
  <c r="Z242" i="25"/>
  <c r="Z241" i="25"/>
  <c r="Z240" i="25"/>
  <c r="Z239" i="25"/>
  <c r="Z238" i="25"/>
  <c r="Z237" i="25"/>
  <c r="Z236" i="25"/>
  <c r="Z235" i="25"/>
  <c r="Z234" i="25"/>
  <c r="Z233" i="25"/>
  <c r="Z232" i="25"/>
  <c r="Z231" i="25"/>
  <c r="Z230" i="25"/>
  <c r="Z229" i="25"/>
  <c r="Z228" i="25"/>
  <c r="Z227" i="25"/>
  <c r="Z226" i="25"/>
  <c r="Z225" i="25"/>
  <c r="Z224" i="25"/>
  <c r="Z223" i="25"/>
  <c r="Z222" i="25"/>
  <c r="Z221" i="25"/>
  <c r="Z220" i="25"/>
  <c r="Z219" i="25"/>
  <c r="Z218" i="25"/>
  <c r="Z217" i="25"/>
  <c r="Z216" i="25"/>
  <c r="Z215" i="25"/>
  <c r="Z214" i="25"/>
  <c r="Z213" i="25"/>
  <c r="Z212" i="25"/>
  <c r="Z211" i="25"/>
  <c r="Z210" i="25"/>
  <c r="Z209" i="25"/>
  <c r="Z208" i="25"/>
  <c r="Z207" i="25"/>
  <c r="Z206" i="25"/>
  <c r="Z205" i="25"/>
  <c r="Z204" i="25"/>
  <c r="Z203" i="25"/>
  <c r="Z202" i="25"/>
  <c r="Z201" i="25"/>
  <c r="Z197" i="25"/>
  <c r="Z198" i="25"/>
  <c r="Z194" i="25"/>
  <c r="Z190" i="25"/>
  <c r="Z187" i="25"/>
  <c r="Z185" i="25"/>
  <c r="Z183" i="25"/>
  <c r="Z181" i="25"/>
  <c r="Z199" i="25"/>
  <c r="Z195" i="25"/>
  <c r="Z200" i="25"/>
  <c r="Z196" i="25"/>
  <c r="Z192" i="25"/>
  <c r="Z188" i="25"/>
  <c r="Z186" i="25"/>
  <c r="Z184" i="25"/>
  <c r="Z182" i="25"/>
  <c r="Z193" i="25"/>
  <c r="Z180" i="25"/>
  <c r="Z178" i="25"/>
  <c r="Z175" i="25"/>
  <c r="Z173" i="25"/>
  <c r="Z171" i="25"/>
  <c r="Z169" i="25"/>
  <c r="Z167" i="25"/>
  <c r="Z163" i="25"/>
  <c r="Z161" i="25"/>
  <c r="Z159" i="25"/>
  <c r="Z157" i="25"/>
  <c r="Z155" i="25"/>
  <c r="X154" i="25"/>
  <c r="Z177" i="25"/>
  <c r="Z191" i="25"/>
  <c r="Z179" i="25"/>
  <c r="Z176" i="25"/>
  <c r="Z174" i="25"/>
  <c r="Z172" i="25"/>
  <c r="Z170" i="25"/>
  <c r="Z168" i="25"/>
  <c r="Z166" i="25"/>
  <c r="Z164" i="25"/>
  <c r="Z162" i="25"/>
  <c r="Z160" i="25"/>
  <c r="Z158" i="25"/>
  <c r="Z156" i="25"/>
  <c r="Z154" i="25"/>
  <c r="Z189" i="25"/>
  <c r="Z165" i="25"/>
  <c r="AF36" i="25"/>
  <c r="AH36" i="25" s="1"/>
  <c r="Y38" i="25"/>
  <c r="AA38" i="25" s="1"/>
  <c r="AF40" i="25"/>
  <c r="AH40" i="25" s="1"/>
  <c r="Y42" i="25"/>
  <c r="AA42" i="25" s="1"/>
  <c r="AF44" i="25"/>
  <c r="AH44" i="25" s="1"/>
  <c r="Y45" i="25"/>
  <c r="AA45" i="25" s="1"/>
  <c r="L46" i="25"/>
  <c r="J47" i="25" s="1"/>
  <c r="AF46" i="25"/>
  <c r="E47" i="25"/>
  <c r="L47" i="25"/>
  <c r="Y48" i="25"/>
  <c r="AA48" i="25" s="1"/>
  <c r="AF50" i="25"/>
  <c r="AH50" i="25" s="1"/>
  <c r="E51" i="25"/>
  <c r="L51" i="25"/>
  <c r="Y52" i="25"/>
  <c r="AA52" i="25" s="1"/>
  <c r="AF54" i="25"/>
  <c r="AH54" i="25" s="1"/>
  <c r="E55" i="25"/>
  <c r="L55" i="25"/>
  <c r="Y56" i="25"/>
  <c r="AA56" i="25" s="1"/>
  <c r="Y57" i="25"/>
  <c r="AA57" i="25" s="1"/>
  <c r="L58" i="25"/>
  <c r="AF58" i="25"/>
  <c r="E59" i="25"/>
  <c r="L59" i="25"/>
  <c r="Y60" i="25"/>
  <c r="AA60" i="25" s="1"/>
  <c r="AF62" i="25"/>
  <c r="AH62" i="25" s="1"/>
  <c r="E63" i="25"/>
  <c r="L63" i="25"/>
  <c r="Y64" i="25"/>
  <c r="AA64" i="25" s="1"/>
  <c r="AF66" i="25"/>
  <c r="AH66" i="25" s="1"/>
  <c r="E67" i="25"/>
  <c r="L67" i="25"/>
  <c r="Y68" i="25"/>
  <c r="AA68" i="25" s="1"/>
  <c r="Y69" i="25"/>
  <c r="AA69" i="25" s="1"/>
  <c r="L70" i="25"/>
  <c r="L82" i="25"/>
  <c r="L94" i="25"/>
  <c r="L106" i="25"/>
  <c r="L119" i="25"/>
  <c r="L121" i="25"/>
  <c r="L123" i="25"/>
  <c r="L125" i="25"/>
  <c r="L127" i="25"/>
  <c r="AK33" i="25"/>
  <c r="Y34" i="25"/>
  <c r="Y35" i="25"/>
  <c r="AA35" i="25" s="1"/>
  <c r="AF37" i="25"/>
  <c r="AH37" i="25" s="1"/>
  <c r="Y39" i="25"/>
  <c r="AA39" i="25" s="1"/>
  <c r="AF41" i="25"/>
  <c r="AH41" i="25" s="1"/>
  <c r="Y43" i="25"/>
  <c r="AA43" i="25" s="1"/>
  <c r="AF45" i="25"/>
  <c r="AH45" i="25" s="1"/>
  <c r="E46" i="25"/>
  <c r="K46" i="25"/>
  <c r="Y47" i="25"/>
  <c r="AA47" i="25" s="1"/>
  <c r="AF49" i="25"/>
  <c r="AH49" i="25" s="1"/>
  <c r="E50" i="25"/>
  <c r="L50" i="25"/>
  <c r="Y51" i="25"/>
  <c r="AA51" i="25" s="1"/>
  <c r="AF53" i="25"/>
  <c r="AH53" i="25" s="1"/>
  <c r="E54" i="25"/>
  <c r="L54" i="25"/>
  <c r="Y55" i="25"/>
  <c r="AA55" i="25" s="1"/>
  <c r="L57" i="25"/>
  <c r="AF57" i="25"/>
  <c r="AH57" i="25" s="1"/>
  <c r="E58" i="25"/>
  <c r="Y59" i="25"/>
  <c r="AA59" i="25" s="1"/>
  <c r="AF61" i="25"/>
  <c r="AH61" i="25" s="1"/>
  <c r="E62" i="25"/>
  <c r="L62" i="25"/>
  <c r="Y63" i="25"/>
  <c r="AA63" i="25" s="1"/>
  <c r="AF65" i="25"/>
  <c r="AH65" i="25" s="1"/>
  <c r="E66" i="25"/>
  <c r="L66" i="25"/>
  <c r="Y67" i="25"/>
  <c r="AA67" i="25" s="1"/>
  <c r="L69" i="25"/>
  <c r="AF69" i="25"/>
  <c r="AH69" i="25" s="1"/>
  <c r="E70" i="25"/>
  <c r="E72" i="25"/>
  <c r="L72" i="25"/>
  <c r="E74" i="25"/>
  <c r="L74" i="25"/>
  <c r="E76" i="25"/>
  <c r="L76" i="25"/>
  <c r="E78" i="25"/>
  <c r="L78" i="25"/>
  <c r="E80" i="25"/>
  <c r="L80" i="25"/>
  <c r="E82" i="25"/>
  <c r="E84" i="25"/>
  <c r="L84" i="25"/>
  <c r="E86" i="25"/>
  <c r="L86" i="25"/>
  <c r="E88" i="25"/>
  <c r="L88" i="25"/>
  <c r="E90" i="25"/>
  <c r="L90" i="25"/>
  <c r="E92" i="25"/>
  <c r="L92" i="25"/>
  <c r="E94" i="25"/>
  <c r="E96" i="25"/>
  <c r="L96" i="25"/>
  <c r="E98" i="25"/>
  <c r="L98" i="25"/>
  <c r="E100" i="25"/>
  <c r="L100" i="25"/>
  <c r="E102" i="25"/>
  <c r="L102" i="25"/>
  <c r="E104" i="25"/>
  <c r="L104" i="25"/>
  <c r="E106" i="25"/>
  <c r="E108" i="25"/>
  <c r="E109" i="25"/>
  <c r="E111" i="25"/>
  <c r="E113" i="25"/>
  <c r="E115" i="25"/>
  <c r="E165" i="25"/>
  <c r="E163" i="25"/>
  <c r="E161" i="25"/>
  <c r="E159" i="25"/>
  <c r="E157" i="25"/>
  <c r="E155" i="25"/>
  <c r="E154" i="25"/>
  <c r="E152" i="25"/>
  <c r="E150" i="25"/>
  <c r="E148" i="25"/>
  <c r="E146" i="25"/>
  <c r="E144" i="25"/>
  <c r="E141" i="25"/>
  <c r="E139" i="25"/>
  <c r="E137" i="25"/>
  <c r="E135" i="25"/>
  <c r="E133" i="25"/>
  <c r="E131" i="25"/>
  <c r="E164" i="25"/>
  <c r="E162" i="25"/>
  <c r="E160" i="25"/>
  <c r="E158" i="25"/>
  <c r="E156" i="25"/>
  <c r="E153" i="25"/>
  <c r="E151" i="25"/>
  <c r="E149" i="25"/>
  <c r="E147" i="25"/>
  <c r="E145" i="25"/>
  <c r="E143" i="25"/>
  <c r="E142" i="25"/>
  <c r="E140" i="25"/>
  <c r="E138" i="25"/>
  <c r="E136" i="25"/>
  <c r="E134" i="25"/>
  <c r="E132" i="25"/>
  <c r="E130" i="25"/>
  <c r="E128" i="25"/>
  <c r="E126" i="25"/>
  <c r="E124" i="25"/>
  <c r="E122" i="25"/>
  <c r="E120" i="25"/>
  <c r="E118" i="25"/>
  <c r="E116" i="25"/>
  <c r="E114" i="25"/>
  <c r="E112" i="25"/>
  <c r="E110" i="25"/>
  <c r="AG309" i="25"/>
  <c r="AG308" i="25"/>
  <c r="AG307" i="25"/>
  <c r="AG306" i="25"/>
  <c r="AG305" i="25"/>
  <c r="AG304" i="25"/>
  <c r="AG303" i="25"/>
  <c r="AG302" i="25"/>
  <c r="AG301" i="25"/>
  <c r="AG300" i="25"/>
  <c r="AG299" i="25"/>
  <c r="AG298" i="25"/>
  <c r="AG272" i="25"/>
  <c r="AG271" i="25"/>
  <c r="AG270" i="25"/>
  <c r="AG269" i="25"/>
  <c r="AG268" i="25"/>
  <c r="AG267" i="25"/>
  <c r="AG266" i="25"/>
  <c r="AG265" i="25"/>
  <c r="AG264" i="25"/>
  <c r="AG263" i="25"/>
  <c r="AG262" i="25"/>
  <c r="AG260" i="25"/>
  <c r="AG259" i="25"/>
  <c r="AG258" i="25"/>
  <c r="AG257" i="25"/>
  <c r="AG256" i="25"/>
  <c r="AG255" i="25"/>
  <c r="AG254" i="25"/>
  <c r="AG253" i="25"/>
  <c r="AG252" i="25"/>
  <c r="AG251" i="25"/>
  <c r="AG250" i="25"/>
  <c r="AG248" i="25"/>
  <c r="AG247" i="25"/>
  <c r="AG246" i="25"/>
  <c r="AG245" i="25"/>
  <c r="AG244" i="25"/>
  <c r="AG243" i="25"/>
  <c r="AG242" i="25"/>
  <c r="AG241" i="25"/>
  <c r="AG240" i="25"/>
  <c r="AG239" i="25"/>
  <c r="AG238" i="25"/>
  <c r="AG236" i="25"/>
  <c r="AG235" i="25"/>
  <c r="AG234" i="25"/>
  <c r="AG233" i="25"/>
  <c r="AG232" i="25"/>
  <c r="AG231" i="25"/>
  <c r="AG230" i="25"/>
  <c r="AG229" i="25"/>
  <c r="AG228" i="25"/>
  <c r="AG227" i="25"/>
  <c r="AG226" i="25"/>
  <c r="AG224" i="25"/>
  <c r="AG223" i="25"/>
  <c r="AG222" i="25"/>
  <c r="AG221" i="25"/>
  <c r="AG220" i="25"/>
  <c r="AG219" i="25"/>
  <c r="AG218" i="25"/>
  <c r="AG217" i="25"/>
  <c r="AG216" i="25"/>
  <c r="AG215" i="25"/>
  <c r="AG214" i="25"/>
  <c r="AG212" i="25"/>
  <c r="AG211" i="25"/>
  <c r="AG210" i="25"/>
  <c r="AG209" i="25"/>
  <c r="AG208" i="25"/>
  <c r="AG207" i="25"/>
  <c r="AG206" i="25"/>
  <c r="AG205" i="25"/>
  <c r="AG204" i="25"/>
  <c r="AG203" i="25"/>
  <c r="AG202" i="25"/>
  <c r="AG197" i="25"/>
  <c r="AG193" i="25"/>
  <c r="AG297" i="25"/>
  <c r="AG296" i="25"/>
  <c r="AG295" i="25"/>
  <c r="AG294" i="25"/>
  <c r="AG293" i="25"/>
  <c r="AG292" i="25"/>
  <c r="AG291" i="25"/>
  <c r="AG290" i="25"/>
  <c r="AG289" i="25"/>
  <c r="AG288" i="25"/>
  <c r="AG287" i="25"/>
  <c r="AG286" i="25"/>
  <c r="AG283" i="25"/>
  <c r="AG281" i="25"/>
  <c r="AG279" i="25"/>
  <c r="AG277" i="25"/>
  <c r="AG275" i="25"/>
  <c r="AG273" i="25"/>
  <c r="AG261" i="25"/>
  <c r="AG249" i="25"/>
  <c r="AG237" i="25"/>
  <c r="AG225" i="25"/>
  <c r="AG213" i="25"/>
  <c r="AG201" i="25"/>
  <c r="AG198" i="25"/>
  <c r="AG194" i="25"/>
  <c r="AG190" i="25"/>
  <c r="AG285" i="25"/>
  <c r="AG199" i="25"/>
  <c r="AG195" i="25"/>
  <c r="AG284" i="25"/>
  <c r="AG282" i="25"/>
  <c r="AG280" i="25"/>
  <c r="AG278" i="25"/>
  <c r="AG276" i="25"/>
  <c r="AG274" i="25"/>
  <c r="AG200" i="25"/>
  <c r="AG196" i="25"/>
  <c r="AG192" i="25"/>
  <c r="AE190" i="25"/>
  <c r="AG191" i="25"/>
  <c r="AF34" i="25"/>
  <c r="Y36" i="25"/>
  <c r="AA36" i="25" s="1"/>
  <c r="AF38" i="25"/>
  <c r="AH38" i="25" s="1"/>
  <c r="Y40" i="25"/>
  <c r="AA40" i="25" s="1"/>
  <c r="AF42" i="25"/>
  <c r="AH42" i="25" s="1"/>
  <c r="Y44" i="25"/>
  <c r="AA44" i="25" s="1"/>
  <c r="AF48" i="25"/>
  <c r="AH48" i="25" s="1"/>
  <c r="E49" i="25"/>
  <c r="L49" i="25"/>
  <c r="Y50" i="25"/>
  <c r="AA50" i="25" s="1"/>
  <c r="AF52" i="25"/>
  <c r="AH52" i="25" s="1"/>
  <c r="E53" i="25"/>
  <c r="L53" i="25"/>
  <c r="Y54" i="25"/>
  <c r="AA54" i="25" s="1"/>
  <c r="AF56" i="25"/>
  <c r="AH56" i="25" s="1"/>
  <c r="E57" i="25"/>
  <c r="AF60" i="25"/>
  <c r="AH60" i="25" s="1"/>
  <c r="E61" i="25"/>
  <c r="L61" i="25"/>
  <c r="Y62" i="25"/>
  <c r="AA62" i="25" s="1"/>
  <c r="AF64" i="25"/>
  <c r="AH64" i="25" s="1"/>
  <c r="E65" i="25"/>
  <c r="L65" i="25"/>
  <c r="Y66" i="25"/>
  <c r="AA66" i="25" s="1"/>
  <c r="E69" i="25"/>
  <c r="L81" i="25"/>
  <c r="L93" i="25"/>
  <c r="L105" i="25"/>
  <c r="L108" i="25"/>
  <c r="L117" i="25"/>
  <c r="E119" i="25"/>
  <c r="E121" i="25"/>
  <c r="E123" i="25"/>
  <c r="E125" i="25"/>
  <c r="E127" i="25"/>
  <c r="E129" i="25"/>
  <c r="AF189" i="24"/>
  <c r="AH189" i="24" s="1"/>
  <c r="AF187" i="24"/>
  <c r="AH187" i="24" s="1"/>
  <c r="AF186" i="24"/>
  <c r="AH186" i="24" s="1"/>
  <c r="AF182" i="24"/>
  <c r="AH182" i="24" s="1"/>
  <c r="AF178" i="24"/>
  <c r="AF185" i="24"/>
  <c r="AH185" i="24" s="1"/>
  <c r="AF188" i="24"/>
  <c r="AH188" i="24" s="1"/>
  <c r="AF184" i="24"/>
  <c r="AH184" i="24" s="1"/>
  <c r="AF180" i="24"/>
  <c r="AH180" i="24" s="1"/>
  <c r="AF177" i="24"/>
  <c r="AH177" i="24" s="1"/>
  <c r="AF174" i="24"/>
  <c r="AH174" i="24" s="1"/>
  <c r="AF172" i="24"/>
  <c r="AH172" i="24" s="1"/>
  <c r="AF170" i="24"/>
  <c r="AH170" i="24" s="1"/>
  <c r="AF168" i="24"/>
  <c r="AH168" i="24" s="1"/>
  <c r="AF166" i="24"/>
  <c r="AF164" i="24"/>
  <c r="AH164" i="24" s="1"/>
  <c r="AF162" i="24"/>
  <c r="AH162" i="24" s="1"/>
  <c r="AF160" i="24"/>
  <c r="AH160" i="24" s="1"/>
  <c r="AF158" i="24"/>
  <c r="AH158" i="24" s="1"/>
  <c r="AF156" i="24"/>
  <c r="AH156" i="24" s="1"/>
  <c r="AF154" i="24"/>
  <c r="AF183" i="24"/>
  <c r="AH183" i="24" s="1"/>
  <c r="AF181" i="24"/>
  <c r="AH181" i="24" s="1"/>
  <c r="AF179" i="24"/>
  <c r="AH179" i="24" s="1"/>
  <c r="AF176" i="24"/>
  <c r="AH176" i="24" s="1"/>
  <c r="AF175" i="24"/>
  <c r="AH175" i="24" s="1"/>
  <c r="AF173" i="24"/>
  <c r="AH173" i="24" s="1"/>
  <c r="AF171" i="24"/>
  <c r="AH171" i="24" s="1"/>
  <c r="AF169" i="24"/>
  <c r="AH169" i="24" s="1"/>
  <c r="AF167" i="24"/>
  <c r="AH167" i="24" s="1"/>
  <c r="AF165" i="24"/>
  <c r="AH165" i="24" s="1"/>
  <c r="AF163" i="24"/>
  <c r="AH163" i="24" s="1"/>
  <c r="AF161" i="24"/>
  <c r="AH161" i="24" s="1"/>
  <c r="AF159" i="24"/>
  <c r="AH159" i="24" s="1"/>
  <c r="AF157" i="24"/>
  <c r="AH157" i="24" s="1"/>
  <c r="AF155" i="24"/>
  <c r="AH155" i="24" s="1"/>
  <c r="AF7" i="24"/>
  <c r="Z198" i="24"/>
  <c r="Z194" i="24"/>
  <c r="Z190" i="24"/>
  <c r="Z185" i="24"/>
  <c r="Z199" i="24"/>
  <c r="Z195" i="24"/>
  <c r="Z191" i="24"/>
  <c r="Z189" i="24"/>
  <c r="Z188" i="24"/>
  <c r="Z184" i="24"/>
  <c r="Z180" i="24"/>
  <c r="Z200" i="24"/>
  <c r="Z196" i="24"/>
  <c r="Z192" i="24"/>
  <c r="Z187" i="24"/>
  <c r="Z273" i="24"/>
  <c r="Z272" i="24"/>
  <c r="Z271" i="24"/>
  <c r="Z270" i="24"/>
  <c r="Z269" i="24"/>
  <c r="Z268" i="24"/>
  <c r="Z267" i="24"/>
  <c r="Z266" i="24"/>
  <c r="Z265" i="24"/>
  <c r="Z264" i="24"/>
  <c r="Z263" i="24"/>
  <c r="Z262" i="24"/>
  <c r="Z261" i="24"/>
  <c r="Z260" i="24"/>
  <c r="Z259" i="24"/>
  <c r="Z258" i="24"/>
  <c r="Z257" i="24"/>
  <c r="Z256" i="24"/>
  <c r="Z255" i="24"/>
  <c r="Z254" i="24"/>
  <c r="Z253" i="24"/>
  <c r="Z252" i="24"/>
  <c r="Z251" i="24"/>
  <c r="Z250" i="24"/>
  <c r="Z249" i="24"/>
  <c r="Z248" i="24"/>
  <c r="Z247" i="24"/>
  <c r="Z246" i="24"/>
  <c r="Z245" i="24"/>
  <c r="Z244" i="24"/>
  <c r="Z243" i="24"/>
  <c r="Z242" i="24"/>
  <c r="Z241" i="24"/>
  <c r="Z240" i="24"/>
  <c r="Z239" i="24"/>
  <c r="Z238" i="24"/>
  <c r="Z237" i="24"/>
  <c r="Z236" i="24"/>
  <c r="Z235" i="24"/>
  <c r="Z234" i="24"/>
  <c r="Z233" i="24"/>
  <c r="Z232" i="24"/>
  <c r="Z231" i="24"/>
  <c r="Z230" i="24"/>
  <c r="Z229" i="24"/>
  <c r="Z228" i="24"/>
  <c r="Z227" i="24"/>
  <c r="Z226" i="24"/>
  <c r="Z225" i="24"/>
  <c r="Z224" i="24"/>
  <c r="Z223" i="24"/>
  <c r="Z222" i="24"/>
  <c r="Z221" i="24"/>
  <c r="Z220" i="24"/>
  <c r="Z219" i="24"/>
  <c r="Z218" i="24"/>
  <c r="Z217" i="24"/>
  <c r="Z216" i="24"/>
  <c r="Z215" i="24"/>
  <c r="Z214" i="24"/>
  <c r="Z213" i="24"/>
  <c r="Z212" i="24"/>
  <c r="Z211" i="24"/>
  <c r="Z210" i="24"/>
  <c r="Z209" i="24"/>
  <c r="Z208" i="24"/>
  <c r="Z207" i="24"/>
  <c r="Z206" i="24"/>
  <c r="Z205" i="24"/>
  <c r="Z204" i="24"/>
  <c r="Z203" i="24"/>
  <c r="Z202" i="24"/>
  <c r="Z201" i="24"/>
  <c r="Z197" i="24"/>
  <c r="Z193" i="24"/>
  <c r="Z186" i="24"/>
  <c r="Z182" i="24"/>
  <c r="Z178" i="24"/>
  <c r="Z177" i="24"/>
  <c r="Z165" i="24"/>
  <c r="Z183" i="24"/>
  <c r="Z181" i="24"/>
  <c r="Z179" i="24"/>
  <c r="Z176" i="24"/>
  <c r="Z173" i="24"/>
  <c r="Z171" i="24"/>
  <c r="Z169" i="24"/>
  <c r="Z167" i="24"/>
  <c r="Z163" i="24"/>
  <c r="Z161" i="24"/>
  <c r="Z159" i="24"/>
  <c r="Z157" i="24"/>
  <c r="Z155" i="24"/>
  <c r="X154" i="24"/>
  <c r="Z175" i="24"/>
  <c r="Z174" i="24"/>
  <c r="Z172" i="24"/>
  <c r="Z170" i="24"/>
  <c r="Z168" i="24"/>
  <c r="Z166" i="24"/>
  <c r="Z164" i="24"/>
  <c r="Z162" i="24"/>
  <c r="Z160" i="24"/>
  <c r="Z158" i="24"/>
  <c r="Z156" i="24"/>
  <c r="Z154" i="24"/>
  <c r="E347" i="24"/>
  <c r="O10" i="24"/>
  <c r="O22" i="24" s="1"/>
  <c r="O34" i="24" s="1"/>
  <c r="O46" i="24" s="1"/>
  <c r="O58" i="24" s="1"/>
  <c r="O70" i="24" s="1"/>
  <c r="O82" i="24" s="1"/>
  <c r="O94" i="24" s="1"/>
  <c r="O106" i="24" s="1"/>
  <c r="O118" i="24" s="1"/>
  <c r="O130" i="24" s="1"/>
  <c r="O142" i="24" s="1"/>
  <c r="AF35" i="24"/>
  <c r="AH35" i="24" s="1"/>
  <c r="Y37" i="24"/>
  <c r="AA37" i="24" s="1"/>
  <c r="AF39" i="24"/>
  <c r="AH39" i="24" s="1"/>
  <c r="Y41" i="24"/>
  <c r="AA41" i="24" s="1"/>
  <c r="AF43" i="24"/>
  <c r="AH43" i="24" s="1"/>
  <c r="F347" i="24"/>
  <c r="C46" i="24"/>
  <c r="Y46" i="24"/>
  <c r="AF47" i="24"/>
  <c r="AH47" i="24" s="1"/>
  <c r="E48" i="24"/>
  <c r="L48" i="24"/>
  <c r="Y49" i="24"/>
  <c r="AA49" i="24" s="1"/>
  <c r="AF51" i="24"/>
  <c r="AH51" i="24" s="1"/>
  <c r="E52" i="24"/>
  <c r="L52" i="24"/>
  <c r="Y53" i="24"/>
  <c r="AA53" i="24" s="1"/>
  <c r="AF55" i="24"/>
  <c r="AH55" i="24" s="1"/>
  <c r="L56" i="24"/>
  <c r="S58" i="24"/>
  <c r="Y59" i="24"/>
  <c r="AA59" i="24" s="1"/>
  <c r="Y60" i="24"/>
  <c r="AA60" i="24" s="1"/>
  <c r="Y61" i="24"/>
  <c r="AA61" i="24" s="1"/>
  <c r="Y62" i="24"/>
  <c r="AA62" i="24" s="1"/>
  <c r="Y63" i="24"/>
  <c r="AA63" i="24" s="1"/>
  <c r="Y64" i="24"/>
  <c r="AA64" i="24" s="1"/>
  <c r="Y65" i="24"/>
  <c r="AA65" i="24" s="1"/>
  <c r="Y66" i="24"/>
  <c r="AA66" i="24" s="1"/>
  <c r="Y67" i="24"/>
  <c r="AA67" i="24" s="1"/>
  <c r="Y68" i="24"/>
  <c r="AA68" i="24" s="1"/>
  <c r="S69" i="24"/>
  <c r="S70" i="24"/>
  <c r="L71" i="24"/>
  <c r="S71" i="24"/>
  <c r="L73" i="24"/>
  <c r="S73" i="24"/>
  <c r="L75" i="24"/>
  <c r="S75" i="24"/>
  <c r="L77" i="24"/>
  <c r="S77" i="24"/>
  <c r="L79" i="24"/>
  <c r="S79" i="24"/>
  <c r="S82" i="24"/>
  <c r="L83" i="24"/>
  <c r="S83" i="24"/>
  <c r="L85" i="24"/>
  <c r="S85" i="24"/>
  <c r="L87" i="24"/>
  <c r="S87" i="24"/>
  <c r="L89" i="24"/>
  <c r="S89" i="24"/>
  <c r="L91" i="24"/>
  <c r="S91" i="24"/>
  <c r="S94" i="24"/>
  <c r="L95" i="24"/>
  <c r="S95" i="24"/>
  <c r="L97" i="24"/>
  <c r="S97" i="24"/>
  <c r="L99" i="24"/>
  <c r="S99" i="24"/>
  <c r="L101" i="24"/>
  <c r="S101" i="24"/>
  <c r="S107" i="24"/>
  <c r="S109" i="24"/>
  <c r="S111" i="24"/>
  <c r="S113" i="24"/>
  <c r="L153" i="24"/>
  <c r="L142" i="24"/>
  <c r="L130" i="24"/>
  <c r="L118" i="24"/>
  <c r="L163" i="24"/>
  <c r="L161" i="24"/>
  <c r="L159" i="24"/>
  <c r="L157" i="24"/>
  <c r="L155" i="24"/>
  <c r="L152" i="24"/>
  <c r="L150" i="24"/>
  <c r="L148" i="24"/>
  <c r="L146" i="24"/>
  <c r="L144" i="24"/>
  <c r="L139" i="24"/>
  <c r="L137" i="24"/>
  <c r="L135" i="24"/>
  <c r="L133" i="24"/>
  <c r="L131" i="24"/>
  <c r="L127" i="24"/>
  <c r="L125" i="24"/>
  <c r="L123" i="24"/>
  <c r="L121" i="24"/>
  <c r="L119" i="24"/>
  <c r="L165" i="24"/>
  <c r="L154" i="24"/>
  <c r="L141" i="24"/>
  <c r="L129" i="24"/>
  <c r="L117" i="24"/>
  <c r="L105" i="24"/>
  <c r="L164" i="24"/>
  <c r="L162" i="24"/>
  <c r="L160" i="24"/>
  <c r="L158" i="24"/>
  <c r="L156" i="24"/>
  <c r="L151" i="24"/>
  <c r="L149" i="24"/>
  <c r="L147" i="24"/>
  <c r="L145" i="24"/>
  <c r="L143" i="24"/>
  <c r="L140" i="24"/>
  <c r="L138" i="24"/>
  <c r="L136" i="24"/>
  <c r="L134" i="24"/>
  <c r="L132" i="24"/>
  <c r="L128" i="24"/>
  <c r="L126" i="24"/>
  <c r="L124" i="24"/>
  <c r="L122" i="24"/>
  <c r="L120" i="24"/>
  <c r="L116" i="24"/>
  <c r="L114" i="24"/>
  <c r="L112" i="24"/>
  <c r="L110" i="24"/>
  <c r="L108" i="24"/>
  <c r="L104" i="24"/>
  <c r="L102" i="24"/>
  <c r="S173" i="24"/>
  <c r="S171" i="24"/>
  <c r="S169" i="24"/>
  <c r="S167" i="24"/>
  <c r="S163" i="24"/>
  <c r="S161" i="24"/>
  <c r="S159" i="24"/>
  <c r="S157" i="24"/>
  <c r="S155" i="24"/>
  <c r="S153" i="24"/>
  <c r="S152" i="24"/>
  <c r="S150" i="24"/>
  <c r="S148" i="24"/>
  <c r="S146" i="24"/>
  <c r="S144" i="24"/>
  <c r="S142" i="24"/>
  <c r="S139" i="24"/>
  <c r="S137" i="24"/>
  <c r="S135" i="24"/>
  <c r="S133" i="24"/>
  <c r="S131" i="24"/>
  <c r="S130" i="24"/>
  <c r="S127" i="24"/>
  <c r="S125" i="24"/>
  <c r="S123" i="24"/>
  <c r="S121" i="24"/>
  <c r="S119" i="24"/>
  <c r="S118" i="24"/>
  <c r="S177" i="24"/>
  <c r="S176" i="24"/>
  <c r="S175" i="24"/>
  <c r="S174" i="24"/>
  <c r="S172" i="24"/>
  <c r="S170" i="24"/>
  <c r="S168" i="24"/>
  <c r="S166" i="24"/>
  <c r="S165" i="24"/>
  <c r="S164" i="24"/>
  <c r="S162" i="24"/>
  <c r="S160" i="24"/>
  <c r="S158" i="24"/>
  <c r="S156" i="24"/>
  <c r="S154" i="24"/>
  <c r="S151" i="24"/>
  <c r="S149" i="24"/>
  <c r="S147" i="24"/>
  <c r="S145" i="24"/>
  <c r="S143" i="24"/>
  <c r="S141" i="24"/>
  <c r="S140" i="24"/>
  <c r="S138" i="24"/>
  <c r="S136" i="24"/>
  <c r="S134" i="24"/>
  <c r="S132" i="24"/>
  <c r="S129" i="24"/>
  <c r="S128" i="24"/>
  <c r="S126" i="24"/>
  <c r="S124" i="24"/>
  <c r="S122" i="24"/>
  <c r="S120" i="24"/>
  <c r="S117" i="24"/>
  <c r="S116" i="24"/>
  <c r="S114" i="24"/>
  <c r="S112" i="24"/>
  <c r="S110" i="24"/>
  <c r="S108" i="24"/>
  <c r="S105" i="24"/>
  <c r="S104" i="24"/>
  <c r="S102" i="24"/>
  <c r="AG297" i="24"/>
  <c r="AG296" i="24"/>
  <c r="AG295" i="24"/>
  <c r="AG294" i="24"/>
  <c r="AG293" i="24"/>
  <c r="AG292" i="24"/>
  <c r="AG291" i="24"/>
  <c r="AG290" i="24"/>
  <c r="AG289" i="24"/>
  <c r="AG288" i="24"/>
  <c r="AG287" i="24"/>
  <c r="AG286" i="24"/>
  <c r="AG283" i="24"/>
  <c r="AG281" i="24"/>
  <c r="AG279" i="24"/>
  <c r="AG277" i="24"/>
  <c r="AG275" i="24"/>
  <c r="AG273" i="24"/>
  <c r="AG261" i="24"/>
  <c r="AG249" i="24"/>
  <c r="AG237" i="24"/>
  <c r="AG225" i="24"/>
  <c r="AG213" i="24"/>
  <c r="AG201" i="24"/>
  <c r="AG198" i="24"/>
  <c r="AG194" i="24"/>
  <c r="AG190" i="24"/>
  <c r="AG285" i="24"/>
  <c r="AG199" i="24"/>
  <c r="AG195" i="24"/>
  <c r="AG191" i="24"/>
  <c r="AG284" i="24"/>
  <c r="AG282" i="24"/>
  <c r="AG280" i="24"/>
  <c r="AG278" i="24"/>
  <c r="AG276" i="24"/>
  <c r="AG274" i="24"/>
  <c r="AG200" i="24"/>
  <c r="AG196" i="24"/>
  <c r="AG192" i="24"/>
  <c r="AE190" i="24"/>
  <c r="AG309" i="24"/>
  <c r="AG308" i="24"/>
  <c r="AG307" i="24"/>
  <c r="AG306" i="24"/>
  <c r="AG305" i="24"/>
  <c r="AG304" i="24"/>
  <c r="AG303" i="24"/>
  <c r="AG302" i="24"/>
  <c r="AG301" i="24"/>
  <c r="AG300" i="24"/>
  <c r="AG299" i="24"/>
  <c r="AG298" i="24"/>
  <c r="AG272" i="24"/>
  <c r="AG271" i="24"/>
  <c r="AG270" i="24"/>
  <c r="AG269" i="24"/>
  <c r="AG268" i="24"/>
  <c r="AG267" i="24"/>
  <c r="AG266" i="24"/>
  <c r="AG265" i="24"/>
  <c r="AG264" i="24"/>
  <c r="AG263" i="24"/>
  <c r="AG262" i="24"/>
  <c r="AG260" i="24"/>
  <c r="AG259" i="24"/>
  <c r="AG258" i="24"/>
  <c r="AG257" i="24"/>
  <c r="AG256" i="24"/>
  <c r="AG255" i="24"/>
  <c r="AG254" i="24"/>
  <c r="AG253" i="24"/>
  <c r="AG252" i="24"/>
  <c r="AG251" i="24"/>
  <c r="AG250" i="24"/>
  <c r="AG248" i="24"/>
  <c r="AG247" i="24"/>
  <c r="AG246" i="24"/>
  <c r="AG245" i="24"/>
  <c r="AG244" i="24"/>
  <c r="AG243" i="24"/>
  <c r="AG242" i="24"/>
  <c r="AG241" i="24"/>
  <c r="AG240" i="24"/>
  <c r="AG239" i="24"/>
  <c r="AG238" i="24"/>
  <c r="AG236" i="24"/>
  <c r="AG235" i="24"/>
  <c r="AG234" i="24"/>
  <c r="AG233" i="24"/>
  <c r="AG232" i="24"/>
  <c r="AG231" i="24"/>
  <c r="AG230" i="24"/>
  <c r="AG229" i="24"/>
  <c r="AG228" i="24"/>
  <c r="AG227" i="24"/>
  <c r="AG226" i="24"/>
  <c r="AG224" i="24"/>
  <c r="AG223" i="24"/>
  <c r="AG222" i="24"/>
  <c r="AG221" i="24"/>
  <c r="AG220" i="24"/>
  <c r="AG219" i="24"/>
  <c r="AG218" i="24"/>
  <c r="AG217" i="24"/>
  <c r="AG216" i="24"/>
  <c r="AG215" i="24"/>
  <c r="AG214" i="24"/>
  <c r="AG212" i="24"/>
  <c r="AG211" i="24"/>
  <c r="AG210" i="24"/>
  <c r="AG209" i="24"/>
  <c r="AG208" i="24"/>
  <c r="AG207" i="24"/>
  <c r="AG206" i="24"/>
  <c r="AG205" i="24"/>
  <c r="AG204" i="24"/>
  <c r="AG203" i="24"/>
  <c r="AG202" i="24"/>
  <c r="AG197" i="24"/>
  <c r="AG193" i="24"/>
  <c r="C340" i="24"/>
  <c r="C343" i="24" s="1"/>
  <c r="AF36" i="24"/>
  <c r="AH36" i="24" s="1"/>
  <c r="Y38" i="24"/>
  <c r="AA38" i="24" s="1"/>
  <c r="AF40" i="24"/>
  <c r="AH40" i="24" s="1"/>
  <c r="Y42" i="24"/>
  <c r="AA42" i="24" s="1"/>
  <c r="AF44" i="24"/>
  <c r="AH44" i="24" s="1"/>
  <c r="Y45" i="24"/>
  <c r="AA45" i="24" s="1"/>
  <c r="L46" i="24"/>
  <c r="AF46" i="24"/>
  <c r="E47" i="24"/>
  <c r="L47" i="24"/>
  <c r="Y48" i="24"/>
  <c r="AA48" i="24" s="1"/>
  <c r="AF50" i="24"/>
  <c r="AH50" i="24" s="1"/>
  <c r="E51" i="24"/>
  <c r="L51" i="24"/>
  <c r="Y52" i="24"/>
  <c r="AA52" i="24" s="1"/>
  <c r="AF54" i="24"/>
  <c r="AH54" i="24" s="1"/>
  <c r="E55" i="24"/>
  <c r="L55" i="24"/>
  <c r="Y56" i="24"/>
  <c r="AA56" i="24" s="1"/>
  <c r="Y57" i="24"/>
  <c r="AA57" i="24" s="1"/>
  <c r="L58" i="24"/>
  <c r="Y58" i="24"/>
  <c r="L69" i="24"/>
  <c r="Y69" i="24"/>
  <c r="AA69" i="24" s="1"/>
  <c r="L70" i="24"/>
  <c r="L82" i="24"/>
  <c r="L94" i="24"/>
  <c r="L103" i="24"/>
  <c r="S106" i="24"/>
  <c r="P2" i="24"/>
  <c r="AK4" i="24"/>
  <c r="AL4" i="24" s="1"/>
  <c r="AK33" i="24"/>
  <c r="AF45" i="24"/>
  <c r="AH45" i="24" s="1"/>
  <c r="E46" i="24"/>
  <c r="Y47" i="24"/>
  <c r="AA47" i="24" s="1"/>
  <c r="AF49" i="24"/>
  <c r="AH49" i="24" s="1"/>
  <c r="E50" i="24"/>
  <c r="L50" i="24"/>
  <c r="Y51" i="24"/>
  <c r="AA51" i="24" s="1"/>
  <c r="AF53" i="24"/>
  <c r="AH53" i="24" s="1"/>
  <c r="E54" i="24"/>
  <c r="L54" i="24"/>
  <c r="Y55" i="24"/>
  <c r="AA55" i="24" s="1"/>
  <c r="L57" i="24"/>
  <c r="AF57" i="24"/>
  <c r="AH57" i="24" s="1"/>
  <c r="E58" i="24"/>
  <c r="Q58" i="24"/>
  <c r="AF58" i="24"/>
  <c r="E59" i="24"/>
  <c r="L59" i="24"/>
  <c r="S59" i="24"/>
  <c r="AF59" i="24"/>
  <c r="AH59" i="24" s="1"/>
  <c r="E60" i="24"/>
  <c r="L60" i="24"/>
  <c r="S60" i="24"/>
  <c r="AF60" i="24"/>
  <c r="AH60" i="24" s="1"/>
  <c r="E61" i="24"/>
  <c r="L61" i="24"/>
  <c r="S61" i="24"/>
  <c r="AF61" i="24"/>
  <c r="AH61" i="24" s="1"/>
  <c r="E62" i="24"/>
  <c r="L62" i="24"/>
  <c r="S62" i="24"/>
  <c r="AF62" i="24"/>
  <c r="AH62" i="24" s="1"/>
  <c r="E63" i="24"/>
  <c r="L63" i="24"/>
  <c r="S63" i="24"/>
  <c r="AF63" i="24"/>
  <c r="AH63" i="24" s="1"/>
  <c r="E64" i="24"/>
  <c r="L64" i="24"/>
  <c r="S64" i="24"/>
  <c r="AF64" i="24"/>
  <c r="AH64" i="24" s="1"/>
  <c r="E65" i="24"/>
  <c r="L65" i="24"/>
  <c r="S65" i="24"/>
  <c r="AF65" i="24"/>
  <c r="AH65" i="24" s="1"/>
  <c r="E66" i="24"/>
  <c r="L66" i="24"/>
  <c r="S66" i="24"/>
  <c r="AF66" i="24"/>
  <c r="AH66" i="24" s="1"/>
  <c r="E67" i="24"/>
  <c r="L67" i="24"/>
  <c r="S67" i="24"/>
  <c r="AF67" i="24"/>
  <c r="AH67" i="24" s="1"/>
  <c r="L68" i="24"/>
  <c r="S68" i="24"/>
  <c r="AF68" i="24"/>
  <c r="AH68" i="24" s="1"/>
  <c r="AF69" i="24"/>
  <c r="AH69" i="24" s="1"/>
  <c r="L72" i="24"/>
  <c r="S72" i="24"/>
  <c r="L74" i="24"/>
  <c r="S74" i="24"/>
  <c r="L76" i="24"/>
  <c r="S76" i="24"/>
  <c r="L78" i="24"/>
  <c r="S78" i="24"/>
  <c r="L80" i="24"/>
  <c r="S80" i="24"/>
  <c r="S81" i="24"/>
  <c r="L84" i="24"/>
  <c r="S84" i="24"/>
  <c r="L86" i="24"/>
  <c r="S86" i="24"/>
  <c r="L88" i="24"/>
  <c r="S88" i="24"/>
  <c r="L90" i="24"/>
  <c r="S90" i="24"/>
  <c r="L92" i="24"/>
  <c r="S92" i="24"/>
  <c r="S93" i="24"/>
  <c r="L96" i="24"/>
  <c r="S96" i="24"/>
  <c r="L98" i="24"/>
  <c r="S98" i="24"/>
  <c r="L100" i="24"/>
  <c r="S100" i="24"/>
  <c r="L107" i="24"/>
  <c r="L109" i="24"/>
  <c r="L111" i="24"/>
  <c r="L113" i="24"/>
  <c r="L115" i="24"/>
  <c r="J46" i="24"/>
  <c r="AF48" i="24"/>
  <c r="AH48" i="24" s="1"/>
  <c r="E49" i="24"/>
  <c r="L49" i="24"/>
  <c r="Y50" i="24"/>
  <c r="AA50" i="24" s="1"/>
  <c r="AF52" i="24"/>
  <c r="AH52" i="24" s="1"/>
  <c r="E53" i="24"/>
  <c r="L53" i="24"/>
  <c r="Y54" i="24"/>
  <c r="AA54" i="24" s="1"/>
  <c r="E57" i="24"/>
  <c r="L81" i="24"/>
  <c r="L93" i="24"/>
  <c r="S103" i="24"/>
  <c r="O154" i="23"/>
  <c r="AJ153" i="23"/>
  <c r="Y68" i="23"/>
  <c r="AA68" i="23" s="1"/>
  <c r="Y67" i="23"/>
  <c r="AA67" i="23" s="1"/>
  <c r="Y66" i="23"/>
  <c r="AA66" i="23" s="1"/>
  <c r="Y65" i="23"/>
  <c r="AA65" i="23" s="1"/>
  <c r="Y64" i="23"/>
  <c r="AA64" i="23" s="1"/>
  <c r="Y63" i="23"/>
  <c r="AA63" i="23" s="1"/>
  <c r="Y62" i="23"/>
  <c r="AA62" i="23" s="1"/>
  <c r="Y61" i="23"/>
  <c r="AA61" i="23" s="1"/>
  <c r="Y60" i="23"/>
  <c r="AA60" i="23" s="1"/>
  <c r="Y59" i="23"/>
  <c r="AA59" i="23" s="1"/>
  <c r="R57" i="23"/>
  <c r="T57" i="23" s="1"/>
  <c r="AF56" i="23"/>
  <c r="AH56" i="23" s="1"/>
  <c r="R56" i="23"/>
  <c r="T56" i="23" s="1"/>
  <c r="Y55" i="23"/>
  <c r="AA55" i="23" s="1"/>
  <c r="AF54" i="23"/>
  <c r="AH54" i="23" s="1"/>
  <c r="R54" i="23"/>
  <c r="T54" i="23" s="1"/>
  <c r="Y53" i="23"/>
  <c r="AA53" i="23" s="1"/>
  <c r="AF52" i="23"/>
  <c r="AH52" i="23" s="1"/>
  <c r="R52" i="23"/>
  <c r="T52" i="23" s="1"/>
  <c r="Y51" i="23"/>
  <c r="AA51" i="23" s="1"/>
  <c r="AF50" i="23"/>
  <c r="AH50" i="23" s="1"/>
  <c r="R50" i="23"/>
  <c r="T50" i="23" s="1"/>
  <c r="Y49" i="23"/>
  <c r="AA49" i="23" s="1"/>
  <c r="AF48" i="23"/>
  <c r="AH48" i="23" s="1"/>
  <c r="R48" i="23"/>
  <c r="T48" i="23" s="1"/>
  <c r="Y47" i="23"/>
  <c r="AA47" i="23" s="1"/>
  <c r="AF46" i="23"/>
  <c r="R45" i="23"/>
  <c r="T45" i="23" s="1"/>
  <c r="Y44" i="23"/>
  <c r="AA44" i="23" s="1"/>
  <c r="Y43" i="23"/>
  <c r="AA43" i="23" s="1"/>
  <c r="Y42" i="23"/>
  <c r="AA42" i="23" s="1"/>
  <c r="Y41" i="23"/>
  <c r="AA41" i="23" s="1"/>
  <c r="Y46" i="23"/>
  <c r="AF69" i="23"/>
  <c r="AH69" i="23" s="1"/>
  <c r="AF68" i="23"/>
  <c r="AH68" i="23" s="1"/>
  <c r="AF67" i="23"/>
  <c r="AH67" i="23" s="1"/>
  <c r="AF66" i="23"/>
  <c r="AH66" i="23" s="1"/>
  <c r="AF65" i="23"/>
  <c r="AH65" i="23" s="1"/>
  <c r="AF64" i="23"/>
  <c r="AH64" i="23" s="1"/>
  <c r="AF63" i="23"/>
  <c r="AH63" i="23" s="1"/>
  <c r="AF62" i="23"/>
  <c r="AH62" i="23" s="1"/>
  <c r="AF61" i="23"/>
  <c r="AH61" i="23" s="1"/>
  <c r="AF60" i="23"/>
  <c r="AH60" i="23" s="1"/>
  <c r="AF59" i="23"/>
  <c r="AH59" i="23" s="1"/>
  <c r="AF58" i="23"/>
  <c r="AF57" i="23"/>
  <c r="AH57" i="23" s="1"/>
  <c r="Y56" i="23"/>
  <c r="AA56" i="23" s="1"/>
  <c r="AF55" i="23"/>
  <c r="AH55" i="23" s="1"/>
  <c r="R55" i="23"/>
  <c r="T55" i="23" s="1"/>
  <c r="Y54" i="23"/>
  <c r="AA54" i="23" s="1"/>
  <c r="AF53" i="23"/>
  <c r="AH53" i="23" s="1"/>
  <c r="R53" i="23"/>
  <c r="T53" i="23" s="1"/>
  <c r="Y52" i="23"/>
  <c r="AA52" i="23" s="1"/>
  <c r="AF51" i="23"/>
  <c r="AH51" i="23" s="1"/>
  <c r="R51" i="23"/>
  <c r="T51" i="23" s="1"/>
  <c r="Y50" i="23"/>
  <c r="AA50" i="23" s="1"/>
  <c r="AF49" i="23"/>
  <c r="AH49" i="23" s="1"/>
  <c r="R49" i="23"/>
  <c r="T49" i="23" s="1"/>
  <c r="Y48" i="23"/>
  <c r="AA48" i="23" s="1"/>
  <c r="AF47" i="23"/>
  <c r="AH47" i="23" s="1"/>
  <c r="R47" i="23"/>
  <c r="T47" i="23" s="1"/>
  <c r="AF45" i="23"/>
  <c r="AH45" i="23" s="1"/>
  <c r="AF44" i="23"/>
  <c r="AH44" i="23" s="1"/>
  <c r="R44" i="23"/>
  <c r="T44" i="23" s="1"/>
  <c r="AF43" i="23"/>
  <c r="AH43" i="23" s="1"/>
  <c r="R43" i="23"/>
  <c r="T43" i="23" s="1"/>
  <c r="AF42" i="23"/>
  <c r="AH42" i="23" s="1"/>
  <c r="R42" i="23"/>
  <c r="T42" i="23" s="1"/>
  <c r="AF41" i="23"/>
  <c r="AH41" i="23" s="1"/>
  <c r="R41" i="23"/>
  <c r="T41" i="23" s="1"/>
  <c r="Y69" i="23"/>
  <c r="AA69" i="23" s="1"/>
  <c r="Y58" i="23"/>
  <c r="Y57" i="23"/>
  <c r="AA57" i="23" s="1"/>
  <c r="Y45" i="23"/>
  <c r="AA45" i="23" s="1"/>
  <c r="AF37" i="23"/>
  <c r="AH37" i="23" s="1"/>
  <c r="Y38" i="23"/>
  <c r="AA38" i="23" s="1"/>
  <c r="R39" i="23"/>
  <c r="T39" i="23" s="1"/>
  <c r="E339" i="23"/>
  <c r="C340" i="23"/>
  <c r="E57" i="23"/>
  <c r="E55" i="23"/>
  <c r="E53" i="23"/>
  <c r="E51" i="23"/>
  <c r="E49" i="23"/>
  <c r="E47" i="23"/>
  <c r="C46" i="23"/>
  <c r="E67" i="23"/>
  <c r="E66" i="23"/>
  <c r="E65" i="23"/>
  <c r="E64" i="23"/>
  <c r="E63" i="23"/>
  <c r="E62" i="23"/>
  <c r="E61" i="23"/>
  <c r="E60" i="23"/>
  <c r="E59" i="23"/>
  <c r="E58" i="23"/>
  <c r="E56" i="23"/>
  <c r="E54" i="23"/>
  <c r="E52" i="23"/>
  <c r="E50" i="23"/>
  <c r="E48" i="23"/>
  <c r="E46" i="23"/>
  <c r="S173" i="23"/>
  <c r="S171" i="23"/>
  <c r="S169" i="23"/>
  <c r="S168" i="23"/>
  <c r="S163" i="23"/>
  <c r="S161" i="23"/>
  <c r="S159" i="23"/>
  <c r="S157" i="23"/>
  <c r="S155" i="23"/>
  <c r="S153" i="23"/>
  <c r="S152" i="23"/>
  <c r="S150" i="23"/>
  <c r="S148" i="23"/>
  <c r="S146" i="23"/>
  <c r="S144" i="23"/>
  <c r="S142" i="23"/>
  <c r="S139" i="23"/>
  <c r="S137" i="23"/>
  <c r="S135" i="23"/>
  <c r="S133" i="23"/>
  <c r="S131" i="23"/>
  <c r="S130" i="23"/>
  <c r="S127" i="23"/>
  <c r="S177" i="23"/>
  <c r="S176" i="23"/>
  <c r="S174" i="23"/>
  <c r="S172" i="23"/>
  <c r="S170" i="23"/>
  <c r="S167" i="23"/>
  <c r="S165" i="23"/>
  <c r="S175" i="23"/>
  <c r="S166" i="23"/>
  <c r="S164" i="23"/>
  <c r="S162" i="23"/>
  <c r="S160" i="23"/>
  <c r="S158" i="23"/>
  <c r="S156" i="23"/>
  <c r="S154" i="23"/>
  <c r="S151" i="23"/>
  <c r="S149" i="23"/>
  <c r="S147" i="23"/>
  <c r="S145" i="23"/>
  <c r="S143" i="23"/>
  <c r="S141" i="23"/>
  <c r="S140" i="23"/>
  <c r="S138" i="23"/>
  <c r="S136" i="23"/>
  <c r="S134" i="23"/>
  <c r="S132" i="23"/>
  <c r="S129" i="23"/>
  <c r="S128" i="23"/>
  <c r="S126" i="23"/>
  <c r="S124" i="23"/>
  <c r="S122" i="23"/>
  <c r="S120" i="23"/>
  <c r="S117" i="23"/>
  <c r="S116" i="23"/>
  <c r="S114" i="23"/>
  <c r="S112" i="23"/>
  <c r="S110" i="23"/>
  <c r="S108" i="23"/>
  <c r="S115" i="23"/>
  <c r="S113" i="23"/>
  <c r="S111" i="23"/>
  <c r="S109" i="23"/>
  <c r="S107" i="23"/>
  <c r="S103" i="23"/>
  <c r="S101" i="23"/>
  <c r="S99" i="23"/>
  <c r="S97" i="23"/>
  <c r="S95" i="23"/>
  <c r="S94" i="23"/>
  <c r="S91" i="23"/>
  <c r="S89" i="23"/>
  <c r="S87" i="23"/>
  <c r="S85" i="23"/>
  <c r="S83" i="23"/>
  <c r="S82" i="23"/>
  <c r="S79" i="23"/>
  <c r="S77" i="23"/>
  <c r="S75" i="23"/>
  <c r="S73" i="23"/>
  <c r="S71" i="23"/>
  <c r="S70" i="23"/>
  <c r="S69" i="23"/>
  <c r="S58" i="23"/>
  <c r="S118" i="23"/>
  <c r="S105" i="23"/>
  <c r="S104" i="23"/>
  <c r="S102" i="23"/>
  <c r="S100" i="23"/>
  <c r="S98" i="23"/>
  <c r="S96" i="23"/>
  <c r="S93" i="23"/>
  <c r="S92" i="23"/>
  <c r="S90" i="23"/>
  <c r="S88" i="23"/>
  <c r="S86" i="23"/>
  <c r="S84" i="23"/>
  <c r="S81" i="23"/>
  <c r="S80" i="23"/>
  <c r="S78" i="23"/>
  <c r="S76" i="23"/>
  <c r="S74" i="23"/>
  <c r="S72" i="23"/>
  <c r="S68" i="23"/>
  <c r="S67" i="23"/>
  <c r="S66" i="23"/>
  <c r="S65" i="23"/>
  <c r="S64" i="23"/>
  <c r="S63" i="23"/>
  <c r="S62" i="23"/>
  <c r="S61" i="23"/>
  <c r="S60" i="23"/>
  <c r="S59" i="23"/>
  <c r="Q58" i="23"/>
  <c r="S125" i="23"/>
  <c r="S123" i="23"/>
  <c r="S121" i="23"/>
  <c r="S119" i="23"/>
  <c r="S106" i="23"/>
  <c r="AG284" i="23"/>
  <c r="AG282" i="23"/>
  <c r="AG280" i="23"/>
  <c r="AG278" i="23"/>
  <c r="AG276" i="23"/>
  <c r="AG274" i="23"/>
  <c r="AG200" i="23"/>
  <c r="AG309" i="23"/>
  <c r="AG308" i="23"/>
  <c r="AG307" i="23"/>
  <c r="AG306" i="23"/>
  <c r="AG305" i="23"/>
  <c r="AG304" i="23"/>
  <c r="AG303" i="23"/>
  <c r="AG302" i="23"/>
  <c r="AG301" i="23"/>
  <c r="AG300" i="23"/>
  <c r="AG299" i="23"/>
  <c r="AG298" i="23"/>
  <c r="AG272" i="23"/>
  <c r="AG271" i="23"/>
  <c r="AG270" i="23"/>
  <c r="AG269" i="23"/>
  <c r="AG268" i="23"/>
  <c r="AG267" i="23"/>
  <c r="AG266" i="23"/>
  <c r="AG265" i="23"/>
  <c r="AG264" i="23"/>
  <c r="AG263" i="23"/>
  <c r="AG262" i="23"/>
  <c r="AG260" i="23"/>
  <c r="AG259" i="23"/>
  <c r="AG258" i="23"/>
  <c r="AG257" i="23"/>
  <c r="AG256" i="23"/>
  <c r="AG255" i="23"/>
  <c r="AG254" i="23"/>
  <c r="AG253" i="23"/>
  <c r="AG252" i="23"/>
  <c r="AG251" i="23"/>
  <c r="AG250" i="23"/>
  <c r="AG248" i="23"/>
  <c r="AG247" i="23"/>
  <c r="AG246" i="23"/>
  <c r="AG245" i="23"/>
  <c r="AG244" i="23"/>
  <c r="AG243" i="23"/>
  <c r="AG242" i="23"/>
  <c r="AG241" i="23"/>
  <c r="AG240" i="23"/>
  <c r="AG239" i="23"/>
  <c r="AG238" i="23"/>
  <c r="AG236" i="23"/>
  <c r="AG235" i="23"/>
  <c r="AG234" i="23"/>
  <c r="AG233" i="23"/>
  <c r="AG232" i="23"/>
  <c r="AG231" i="23"/>
  <c r="AG230" i="23"/>
  <c r="AG229" i="23"/>
  <c r="AG228" i="23"/>
  <c r="AG227" i="23"/>
  <c r="AG226" i="23"/>
  <c r="AG224" i="23"/>
  <c r="AG223" i="23"/>
  <c r="AG222" i="23"/>
  <c r="AG221" i="23"/>
  <c r="AG220" i="23"/>
  <c r="AG219" i="23"/>
  <c r="AG218" i="23"/>
  <c r="AG217" i="23"/>
  <c r="AG216" i="23"/>
  <c r="AG215" i="23"/>
  <c r="AG214" i="23"/>
  <c r="AG212" i="23"/>
  <c r="AG211" i="23"/>
  <c r="AG210" i="23"/>
  <c r="AG209" i="23"/>
  <c r="AG208" i="23"/>
  <c r="AG207" i="23"/>
  <c r="AG206" i="23"/>
  <c r="AG205" i="23"/>
  <c r="AG204" i="23"/>
  <c r="AG203" i="23"/>
  <c r="AG202" i="23"/>
  <c r="AG197" i="23"/>
  <c r="AG193" i="23"/>
  <c r="AG297" i="23"/>
  <c r="AG296" i="23"/>
  <c r="AG295" i="23"/>
  <c r="AG294" i="23"/>
  <c r="AG293" i="23"/>
  <c r="AG292" i="23"/>
  <c r="AG291" i="23"/>
  <c r="AG290" i="23"/>
  <c r="AG289" i="23"/>
  <c r="AG288" i="23"/>
  <c r="AG287" i="23"/>
  <c r="AG286" i="23"/>
  <c r="AG283" i="23"/>
  <c r="AG281" i="23"/>
  <c r="AG279" i="23"/>
  <c r="AG277" i="23"/>
  <c r="AG275" i="23"/>
  <c r="AG273" i="23"/>
  <c r="AG261" i="23"/>
  <c r="AG249" i="23"/>
  <c r="AG237" i="23"/>
  <c r="AG225" i="23"/>
  <c r="AG213" i="23"/>
  <c r="AG201" i="23"/>
  <c r="AG198" i="23"/>
  <c r="AG285" i="23"/>
  <c r="AG199" i="23"/>
  <c r="AG195" i="23"/>
  <c r="AG191" i="23"/>
  <c r="AG194" i="23"/>
  <c r="AG190" i="23"/>
  <c r="AG336" i="23" s="1"/>
  <c r="AG196" i="23"/>
  <c r="AG192" i="23"/>
  <c r="AE190" i="23"/>
  <c r="E347" i="23"/>
  <c r="R34" i="23"/>
  <c r="Y35" i="23"/>
  <c r="AA35" i="23" s="1"/>
  <c r="Y36" i="23"/>
  <c r="AA36" i="23" s="1"/>
  <c r="Y37" i="23"/>
  <c r="AA37" i="23" s="1"/>
  <c r="R38" i="23"/>
  <c r="T38" i="23" s="1"/>
  <c r="AF40" i="23"/>
  <c r="AH40" i="23" s="1"/>
  <c r="K7" i="23"/>
  <c r="R7" i="23" s="1"/>
  <c r="Y34" i="23"/>
  <c r="AF39" i="23"/>
  <c r="AH39" i="23" s="1"/>
  <c r="Y40" i="23"/>
  <c r="AA40" i="23" s="1"/>
  <c r="L153" i="23"/>
  <c r="L142" i="23"/>
  <c r="L130" i="23"/>
  <c r="L165" i="23"/>
  <c r="L163" i="23"/>
  <c r="L161" i="23"/>
  <c r="L159" i="23"/>
  <c r="L157" i="23"/>
  <c r="L155" i="23"/>
  <c r="L152" i="23"/>
  <c r="L150" i="23"/>
  <c r="L148" i="23"/>
  <c r="L146" i="23"/>
  <c r="L144" i="23"/>
  <c r="L139" i="23"/>
  <c r="L137" i="23"/>
  <c r="L135" i="23"/>
  <c r="L133" i="23"/>
  <c r="L131" i="23"/>
  <c r="L127" i="23"/>
  <c r="L154" i="23"/>
  <c r="L141" i="23"/>
  <c r="L129" i="23"/>
  <c r="L117" i="23"/>
  <c r="L164" i="23"/>
  <c r="L162" i="23"/>
  <c r="L160" i="23"/>
  <c r="L158" i="23"/>
  <c r="L156" i="23"/>
  <c r="L151" i="23"/>
  <c r="L149" i="23"/>
  <c r="L147" i="23"/>
  <c r="L145" i="23"/>
  <c r="L143" i="23"/>
  <c r="L140" i="23"/>
  <c r="L138" i="23"/>
  <c r="L136" i="23"/>
  <c r="L134" i="23"/>
  <c r="L132" i="23"/>
  <c r="L128" i="23"/>
  <c r="L126" i="23"/>
  <c r="L124" i="23"/>
  <c r="L122" i="23"/>
  <c r="L120" i="23"/>
  <c r="L116" i="23"/>
  <c r="L114" i="23"/>
  <c r="L112" i="23"/>
  <c r="L110" i="23"/>
  <c r="L108" i="23"/>
  <c r="L103" i="23"/>
  <c r="L101" i="23"/>
  <c r="L99" i="23"/>
  <c r="L97" i="23"/>
  <c r="L95" i="23"/>
  <c r="L91" i="23"/>
  <c r="L89" i="23"/>
  <c r="L87" i="23"/>
  <c r="L85" i="23"/>
  <c r="L83" i="23"/>
  <c r="L79" i="23"/>
  <c r="L77" i="23"/>
  <c r="L75" i="23"/>
  <c r="L73" i="23"/>
  <c r="L71" i="23"/>
  <c r="L55" i="23"/>
  <c r="L53" i="23"/>
  <c r="L51" i="23"/>
  <c r="L49" i="23"/>
  <c r="L47" i="23"/>
  <c r="L125" i="23"/>
  <c r="L123" i="23"/>
  <c r="L121" i="23"/>
  <c r="L119" i="23"/>
  <c r="L105" i="23"/>
  <c r="L93" i="23"/>
  <c r="L81" i="23"/>
  <c r="L57" i="23"/>
  <c r="J46" i="23"/>
  <c r="L115" i="23"/>
  <c r="L113" i="23"/>
  <c r="L111" i="23"/>
  <c r="L109" i="23"/>
  <c r="L107" i="23"/>
  <c r="L104" i="23"/>
  <c r="L102" i="23"/>
  <c r="L100" i="23"/>
  <c r="L98" i="23"/>
  <c r="L96" i="23"/>
  <c r="L92" i="23"/>
  <c r="L90" i="23"/>
  <c r="L88" i="23"/>
  <c r="L86" i="23"/>
  <c r="L84" i="23"/>
  <c r="L80" i="23"/>
  <c r="L78" i="23"/>
  <c r="L76" i="23"/>
  <c r="L74" i="23"/>
  <c r="L72" i="23"/>
  <c r="L68" i="23"/>
  <c r="L67" i="23"/>
  <c r="L66" i="23"/>
  <c r="L65" i="23"/>
  <c r="L64" i="23"/>
  <c r="L63" i="23"/>
  <c r="L62" i="23"/>
  <c r="L61" i="23"/>
  <c r="L60" i="23"/>
  <c r="L59" i="23"/>
  <c r="L56" i="23"/>
  <c r="L54" i="23"/>
  <c r="L52" i="23"/>
  <c r="L50" i="23"/>
  <c r="L48" i="23"/>
  <c r="L118" i="23"/>
  <c r="L106" i="23"/>
  <c r="L94" i="23"/>
  <c r="L82" i="23"/>
  <c r="L70" i="23"/>
  <c r="L69" i="23"/>
  <c r="L58" i="23"/>
  <c r="L46" i="23"/>
  <c r="Z200" i="23"/>
  <c r="Z273" i="23"/>
  <c r="Z272" i="23"/>
  <c r="Z271" i="23"/>
  <c r="Z270" i="23"/>
  <c r="Z269" i="23"/>
  <c r="Z268" i="23"/>
  <c r="Z267" i="23"/>
  <c r="Z266" i="23"/>
  <c r="Z265" i="23"/>
  <c r="Z264" i="23"/>
  <c r="Z263" i="23"/>
  <c r="Z262" i="23"/>
  <c r="Z261" i="23"/>
  <c r="Z260" i="23"/>
  <c r="Z259" i="23"/>
  <c r="Z258" i="23"/>
  <c r="Z257" i="23"/>
  <c r="Z256" i="23"/>
  <c r="Z255" i="23"/>
  <c r="Z254" i="23"/>
  <c r="Z253" i="23"/>
  <c r="Z252" i="23"/>
  <c r="Z251" i="23"/>
  <c r="Z250" i="23"/>
  <c r="Z249" i="23"/>
  <c r="Z248" i="23"/>
  <c r="Z247" i="23"/>
  <c r="Z246" i="23"/>
  <c r="Z245" i="23"/>
  <c r="Z244" i="23"/>
  <c r="Z243" i="23"/>
  <c r="Z242" i="23"/>
  <c r="Z241" i="23"/>
  <c r="Z240" i="23"/>
  <c r="Z239" i="23"/>
  <c r="Z238" i="23"/>
  <c r="Z237" i="23"/>
  <c r="Z236" i="23"/>
  <c r="Z235" i="23"/>
  <c r="Z234" i="23"/>
  <c r="Z233" i="23"/>
  <c r="Z232" i="23"/>
  <c r="Z231" i="23"/>
  <c r="Z230" i="23"/>
  <c r="Z229" i="23"/>
  <c r="Z228" i="23"/>
  <c r="Z227" i="23"/>
  <c r="Z226" i="23"/>
  <c r="Z225" i="23"/>
  <c r="Z224" i="23"/>
  <c r="Z223" i="23"/>
  <c r="Z222" i="23"/>
  <c r="Z221" i="23"/>
  <c r="Z220" i="23"/>
  <c r="Z219" i="23"/>
  <c r="Z218" i="23"/>
  <c r="Z217" i="23"/>
  <c r="Z216" i="23"/>
  <c r="Z215" i="23"/>
  <c r="Z214" i="23"/>
  <c r="Z213" i="23"/>
  <c r="Z212" i="23"/>
  <c r="Z211" i="23"/>
  <c r="Z210" i="23"/>
  <c r="Z209" i="23"/>
  <c r="Z208" i="23"/>
  <c r="Z207" i="23"/>
  <c r="Z206" i="23"/>
  <c r="Z205" i="23"/>
  <c r="Z204" i="23"/>
  <c r="Z203" i="23"/>
  <c r="Z202" i="23"/>
  <c r="Z201" i="23"/>
  <c r="Z197" i="23"/>
  <c r="Z193" i="23"/>
  <c r="Z186" i="23"/>
  <c r="Z182" i="23"/>
  <c r="Z178" i="23"/>
  <c r="Z177" i="23"/>
  <c r="Z199" i="23"/>
  <c r="Z195" i="23"/>
  <c r="Z191" i="23"/>
  <c r="Z189" i="23"/>
  <c r="Z188" i="23"/>
  <c r="Z184" i="23"/>
  <c r="Z180" i="23"/>
  <c r="Z196" i="23"/>
  <c r="Z192" i="23"/>
  <c r="Z173" i="23"/>
  <c r="Z171" i="23"/>
  <c r="Z169" i="23"/>
  <c r="Z176" i="23"/>
  <c r="Z168" i="23"/>
  <c r="Z163" i="23"/>
  <c r="Z161" i="23"/>
  <c r="Z159" i="23"/>
  <c r="Z157" i="23"/>
  <c r="Z155" i="23"/>
  <c r="X154" i="23"/>
  <c r="Z198" i="23"/>
  <c r="Z194" i="23"/>
  <c r="Z190" i="23"/>
  <c r="Z175" i="23"/>
  <c r="Z174" i="23"/>
  <c r="Z172" i="23"/>
  <c r="Z170" i="23"/>
  <c r="Z167" i="23"/>
  <c r="Z187" i="23"/>
  <c r="Z185" i="23"/>
  <c r="Z183" i="23"/>
  <c r="Z181" i="23"/>
  <c r="Z179" i="23"/>
  <c r="Z166" i="23"/>
  <c r="Z165" i="23"/>
  <c r="Z164" i="23"/>
  <c r="Z162" i="23"/>
  <c r="Z160" i="23"/>
  <c r="Z158" i="23"/>
  <c r="Z156" i="23"/>
  <c r="Z154" i="23"/>
  <c r="AK21" i="23"/>
  <c r="AK33" i="23"/>
  <c r="AF34" i="23"/>
  <c r="R35" i="23"/>
  <c r="T35" i="23" s="1"/>
  <c r="AF35" i="23"/>
  <c r="AH35" i="23" s="1"/>
  <c r="R36" i="23"/>
  <c r="T36" i="23" s="1"/>
  <c r="AF36" i="23"/>
  <c r="AH36" i="23" s="1"/>
  <c r="R37" i="23"/>
  <c r="T37" i="23" s="1"/>
  <c r="AF38" i="23"/>
  <c r="AH38" i="23" s="1"/>
  <c r="Y39" i="23"/>
  <c r="AA39" i="23" s="1"/>
  <c r="R40" i="23"/>
  <c r="T40" i="23" s="1"/>
  <c r="T65" i="18"/>
  <c r="T66" i="18"/>
  <c r="T67" i="18"/>
  <c r="T68" i="18"/>
  <c r="T69" i="18"/>
  <c r="T70" i="18"/>
  <c r="T71" i="18"/>
  <c r="T72" i="18"/>
  <c r="T73" i="18"/>
  <c r="T74" i="18"/>
  <c r="T75" i="18"/>
  <c r="T76" i="18"/>
  <c r="T77" i="18"/>
  <c r="T78" i="18"/>
  <c r="T79" i="18"/>
  <c r="T80" i="18"/>
  <c r="T81" i="18"/>
  <c r="T82" i="18"/>
  <c r="T83" i="18"/>
  <c r="T84" i="18"/>
  <c r="T85" i="18"/>
  <c r="T86" i="18"/>
  <c r="T87" i="18"/>
  <c r="T94" i="18"/>
  <c r="T96" i="18"/>
  <c r="T103" i="18"/>
  <c r="T64" i="18"/>
  <c r="T60" i="18"/>
  <c r="T59" i="18"/>
  <c r="T58" i="18"/>
  <c r="T57" i="18"/>
  <c r="T56" i="18"/>
  <c r="T55" i="18"/>
  <c r="T54" i="18"/>
  <c r="T53" i="18"/>
  <c r="T51" i="18"/>
  <c r="T52" i="18"/>
  <c r="T50" i="18"/>
  <c r="T49" i="18"/>
  <c r="T48" i="18"/>
  <c r="T47" i="18"/>
  <c r="T46" i="18"/>
  <c r="T45" i="18"/>
  <c r="T44" i="18"/>
  <c r="T43" i="18"/>
  <c r="T42" i="18"/>
  <c r="T41" i="18"/>
  <c r="T40" i="18"/>
  <c r="T39" i="18"/>
  <c r="T38" i="18"/>
  <c r="T37" i="18"/>
  <c r="T36" i="18"/>
  <c r="T35" i="18"/>
  <c r="T34" i="18"/>
  <c r="T32" i="18"/>
  <c r="T33" i="18"/>
  <c r="T31" i="18"/>
  <c r="W107" i="21"/>
  <c r="W106" i="21"/>
  <c r="E57" i="22"/>
  <c r="C57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H53" i="22"/>
  <c r="G53" i="22"/>
  <c r="E53" i="22"/>
  <c r="F52" i="22"/>
  <c r="E52" i="22"/>
  <c r="C52" i="22"/>
  <c r="F51" i="22"/>
  <c r="E51" i="22"/>
  <c r="C51" i="22"/>
  <c r="F50" i="22"/>
  <c r="C50" i="22"/>
  <c r="E46" i="22"/>
  <c r="E44" i="22"/>
  <c r="E42" i="22"/>
  <c r="U41" i="22"/>
  <c r="U40" i="22" s="1"/>
  <c r="H41" i="22"/>
  <c r="H40" i="22" s="1"/>
  <c r="G41" i="22"/>
  <c r="G40" i="22" s="1"/>
  <c r="G58" i="22" s="1"/>
  <c r="F37" i="22"/>
  <c r="E37" i="22"/>
  <c r="C37" i="22"/>
  <c r="V36" i="22"/>
  <c r="C36" i="22"/>
  <c r="C56" i="22" s="1"/>
  <c r="I56" i="22" s="1"/>
  <c r="F56" i="22" s="1"/>
  <c r="B56" i="22"/>
  <c r="V35" i="22"/>
  <c r="C35" i="22"/>
  <c r="C55" i="22" s="1"/>
  <c r="I55" i="22" s="1"/>
  <c r="F55" i="22" s="1"/>
  <c r="B55" i="22"/>
  <c r="V34" i="22"/>
  <c r="C34" i="22"/>
  <c r="C54" i="22" s="1"/>
  <c r="B54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H33" i="22"/>
  <c r="G33" i="22"/>
  <c r="E33" i="22"/>
  <c r="F32" i="22"/>
  <c r="V31" i="22"/>
  <c r="V49" i="22" s="1"/>
  <c r="B49" i="22"/>
  <c r="V30" i="22"/>
  <c r="V48" i="22" s="1"/>
  <c r="B48" i="22"/>
  <c r="V29" i="22"/>
  <c r="V47" i="22" s="1"/>
  <c r="B47" i="22"/>
  <c r="V28" i="22"/>
  <c r="V46" i="22" s="1"/>
  <c r="B46" i="22"/>
  <c r="V27" i="22"/>
  <c r="V45" i="22" s="1"/>
  <c r="B45" i="22"/>
  <c r="V26" i="22"/>
  <c r="V44" i="22" s="1"/>
  <c r="B44" i="22"/>
  <c r="V25" i="22"/>
  <c r="V43" i="22" s="1"/>
  <c r="B43" i="22"/>
  <c r="V24" i="22"/>
  <c r="V42" i="22" s="1"/>
  <c r="B42" i="22"/>
  <c r="U23" i="22"/>
  <c r="T23" i="22"/>
  <c r="T21" i="22" s="1"/>
  <c r="S23" i="22"/>
  <c r="R23" i="22"/>
  <c r="R21" i="22" s="1"/>
  <c r="Q23" i="22"/>
  <c r="Q21" i="22" s="1"/>
  <c r="P23" i="22"/>
  <c r="P21" i="22" s="1"/>
  <c r="O23" i="22"/>
  <c r="O21" i="22" s="1"/>
  <c r="N23" i="22"/>
  <c r="N21" i="22" s="1"/>
  <c r="M23" i="22"/>
  <c r="M21" i="22" s="1"/>
  <c r="L23" i="22"/>
  <c r="K23" i="22"/>
  <c r="K21" i="22" s="1"/>
  <c r="G23" i="22"/>
  <c r="G21" i="22" s="1"/>
  <c r="F22" i="22"/>
  <c r="C22" i="22"/>
  <c r="U21" i="22"/>
  <c r="S21" i="22"/>
  <c r="L21" i="22"/>
  <c r="F20" i="22"/>
  <c r="E20" i="22"/>
  <c r="C20" i="22" s="1"/>
  <c r="F19" i="22"/>
  <c r="E19" i="22"/>
  <c r="F18" i="22"/>
  <c r="E18" i="22"/>
  <c r="C18" i="22" s="1"/>
  <c r="F17" i="22"/>
  <c r="E17" i="22"/>
  <c r="F16" i="22"/>
  <c r="E16" i="22"/>
  <c r="F15" i="22"/>
  <c r="F14" i="22"/>
  <c r="E14" i="22"/>
  <c r="C14" i="22" s="1"/>
  <c r="F13" i="22"/>
  <c r="E13" i="22"/>
  <c r="C13" i="22" s="1"/>
  <c r="U12" i="22"/>
  <c r="T12" i="22"/>
  <c r="S12" i="22"/>
  <c r="R12" i="22"/>
  <c r="Q12" i="22"/>
  <c r="Q38" i="22" s="1"/>
  <c r="P12" i="22"/>
  <c r="O12" i="22"/>
  <c r="N12" i="22"/>
  <c r="M12" i="22"/>
  <c r="M38" i="22" s="1"/>
  <c r="L12" i="22"/>
  <c r="K12" i="22"/>
  <c r="J12" i="22"/>
  <c r="I12" i="22"/>
  <c r="H12" i="22"/>
  <c r="G12" i="22"/>
  <c r="D12" i="22"/>
  <c r="A11" i="22"/>
  <c r="I10" i="22"/>
  <c r="J10" i="22" s="1"/>
  <c r="K10" i="22" s="1"/>
  <c r="L10" i="22" s="1"/>
  <c r="M10" i="22" s="1"/>
  <c r="N10" i="22" s="1"/>
  <c r="O10" i="22" s="1"/>
  <c r="P10" i="22" s="1"/>
  <c r="Q10" i="22" s="1"/>
  <c r="R10" i="22" s="1"/>
  <c r="S10" i="22" s="1"/>
  <c r="T10" i="22" s="1"/>
  <c r="U10" i="22" s="1"/>
  <c r="V10" i="22" s="1"/>
  <c r="C10" i="22"/>
  <c r="B10" i="22"/>
  <c r="A10" i="22"/>
  <c r="H8" i="22"/>
  <c r="I8" i="22" s="1"/>
  <c r="J8" i="22" s="1"/>
  <c r="K8" i="22" s="1"/>
  <c r="L8" i="22" s="1"/>
  <c r="M8" i="22" s="1"/>
  <c r="N8" i="22" s="1"/>
  <c r="O8" i="22" s="1"/>
  <c r="P8" i="22" s="1"/>
  <c r="Q8" i="22" s="1"/>
  <c r="R8" i="22" s="1"/>
  <c r="S8" i="22" s="1"/>
  <c r="T8" i="22" s="1"/>
  <c r="U8" i="22" s="1"/>
  <c r="C98" i="11"/>
  <c r="X32" i="18"/>
  <c r="X33" i="18"/>
  <c r="X34" i="18"/>
  <c r="X35" i="18"/>
  <c r="X36" i="18"/>
  <c r="X37" i="18"/>
  <c r="X38" i="18"/>
  <c r="X39" i="18"/>
  <c r="X40" i="18"/>
  <c r="X41" i="18"/>
  <c r="X42" i="18"/>
  <c r="X43" i="18"/>
  <c r="X44" i="18"/>
  <c r="X45" i="18"/>
  <c r="X46" i="18"/>
  <c r="X47" i="18"/>
  <c r="X48" i="18"/>
  <c r="X49" i="18"/>
  <c r="X50" i="18"/>
  <c r="X51" i="18"/>
  <c r="X52" i="18"/>
  <c r="X53" i="18"/>
  <c r="X54" i="18"/>
  <c r="X55" i="18"/>
  <c r="X56" i="18"/>
  <c r="X57" i="18"/>
  <c r="X58" i="18"/>
  <c r="X59" i="18"/>
  <c r="X60" i="18"/>
  <c r="X31" i="18"/>
  <c r="R105" i="18"/>
  <c r="T105" i="18" s="1"/>
  <c r="R104" i="18"/>
  <c r="Q7" i="26" s="1"/>
  <c r="S70" i="26" s="1"/>
  <c r="R102" i="18"/>
  <c r="R101" i="18"/>
  <c r="T101" i="18" s="1"/>
  <c r="R100" i="18"/>
  <c r="T100" i="18" s="1"/>
  <c r="R99" i="18"/>
  <c r="T99" i="18" s="1"/>
  <c r="R98" i="18"/>
  <c r="R97" i="18"/>
  <c r="T97" i="18" s="1"/>
  <c r="R95" i="18"/>
  <c r="T95" i="18" s="1"/>
  <c r="S66" i="21"/>
  <c r="AF66" i="21" s="1"/>
  <c r="R93" i="18"/>
  <c r="S65" i="21" s="1"/>
  <c r="AF65" i="21" s="1"/>
  <c r="R92" i="18"/>
  <c r="T92" i="18" s="1"/>
  <c r="R91" i="18"/>
  <c r="T91" i="18" s="1"/>
  <c r="R90" i="18"/>
  <c r="T90" i="18" s="1"/>
  <c r="R89" i="18"/>
  <c r="S61" i="21" s="1"/>
  <c r="R88" i="18"/>
  <c r="T88" i="18" s="1"/>
  <c r="AF78" i="21"/>
  <c r="AF79" i="21"/>
  <c r="AF80" i="21"/>
  <c r="AF81" i="21"/>
  <c r="AF82" i="21"/>
  <c r="AF83" i="21"/>
  <c r="AF84" i="21"/>
  <c r="AF85" i="21"/>
  <c r="AF86" i="21"/>
  <c r="AF87" i="21"/>
  <c r="AF88" i="21"/>
  <c r="AF89" i="21"/>
  <c r="AF90" i="21"/>
  <c r="AF91" i="21"/>
  <c r="AF92" i="21"/>
  <c r="AF93" i="21"/>
  <c r="AF94" i="21"/>
  <c r="AF95" i="21"/>
  <c r="AF96" i="21"/>
  <c r="AF97" i="21"/>
  <c r="AF98" i="21"/>
  <c r="AF99" i="21"/>
  <c r="AF100" i="21"/>
  <c r="AF101" i="21"/>
  <c r="E102" i="21"/>
  <c r="F102" i="21"/>
  <c r="G102" i="21"/>
  <c r="H102" i="21"/>
  <c r="I102" i="21"/>
  <c r="J102" i="21"/>
  <c r="L102" i="21"/>
  <c r="M102" i="21"/>
  <c r="N102" i="21"/>
  <c r="P102" i="21"/>
  <c r="Q102" i="21"/>
  <c r="R102" i="21"/>
  <c r="T102" i="21"/>
  <c r="U102" i="21"/>
  <c r="V102" i="21"/>
  <c r="W102" i="21"/>
  <c r="X102" i="21"/>
  <c r="Y102" i="21"/>
  <c r="Z102" i="21"/>
  <c r="AA102" i="21"/>
  <c r="AB102" i="21"/>
  <c r="AC102" i="21"/>
  <c r="AD102" i="21"/>
  <c r="AE102" i="21"/>
  <c r="D102" i="21"/>
  <c r="S62" i="21"/>
  <c r="AF62" i="21" s="1"/>
  <c r="S63" i="21"/>
  <c r="AF63" i="21" s="1"/>
  <c r="S64" i="21"/>
  <c r="AF64" i="21" s="1"/>
  <c r="S67" i="21"/>
  <c r="AF67" i="21" s="1"/>
  <c r="S68" i="21"/>
  <c r="AF68" i="21" s="1"/>
  <c r="S69" i="21"/>
  <c r="AF69" i="21" s="1"/>
  <c r="S71" i="21"/>
  <c r="AF71" i="21" s="1"/>
  <c r="S72" i="21"/>
  <c r="AF72" i="21" s="1"/>
  <c r="S73" i="21"/>
  <c r="AF73" i="21" s="1"/>
  <c r="S75" i="21"/>
  <c r="AF75" i="21" s="1"/>
  <c r="S77" i="21"/>
  <c r="AF77" i="21" s="1"/>
  <c r="S60" i="21"/>
  <c r="AF60" i="21" s="1"/>
  <c r="O37" i="21"/>
  <c r="O38" i="21"/>
  <c r="AF38" i="21" s="1"/>
  <c r="O39" i="21"/>
  <c r="AF39" i="21" s="1"/>
  <c r="O40" i="21"/>
  <c r="AF40" i="21" s="1"/>
  <c r="O41" i="21"/>
  <c r="AF41" i="21" s="1"/>
  <c r="O42" i="21"/>
  <c r="AF42" i="21" s="1"/>
  <c r="O43" i="21"/>
  <c r="AF43" i="21" s="1"/>
  <c r="O44" i="21"/>
  <c r="AF44" i="21" s="1"/>
  <c r="O45" i="21"/>
  <c r="AF45" i="21" s="1"/>
  <c r="O46" i="21"/>
  <c r="AF46" i="21" s="1"/>
  <c r="O47" i="21"/>
  <c r="AF47" i="21" s="1"/>
  <c r="O48" i="21"/>
  <c r="AF48" i="21" s="1"/>
  <c r="O49" i="21"/>
  <c r="AF49" i="21" s="1"/>
  <c r="O50" i="21"/>
  <c r="AF50" i="21" s="1"/>
  <c r="O51" i="21"/>
  <c r="AF51" i="21" s="1"/>
  <c r="O52" i="21"/>
  <c r="AF52" i="21" s="1"/>
  <c r="O53" i="21"/>
  <c r="AF53" i="21" s="1"/>
  <c r="O54" i="21"/>
  <c r="AF54" i="21" s="1"/>
  <c r="O55" i="21"/>
  <c r="AF55" i="21" s="1"/>
  <c r="O56" i="21"/>
  <c r="AF56" i="21" s="1"/>
  <c r="O57" i="21"/>
  <c r="AF57" i="21" s="1"/>
  <c r="O58" i="21"/>
  <c r="AF58" i="21" s="1"/>
  <c r="O59" i="21"/>
  <c r="AF59" i="21" s="1"/>
  <c r="O36" i="21"/>
  <c r="AF36" i="21" s="1"/>
  <c r="K7" i="21"/>
  <c r="AF7" i="21" s="1"/>
  <c r="K8" i="21"/>
  <c r="AF8" i="21" s="1"/>
  <c r="K9" i="21"/>
  <c r="AF9" i="21" s="1"/>
  <c r="K10" i="21"/>
  <c r="AF10" i="21" s="1"/>
  <c r="K11" i="21"/>
  <c r="AF11" i="21" s="1"/>
  <c r="K12" i="21"/>
  <c r="AF12" i="21" s="1"/>
  <c r="K13" i="21"/>
  <c r="AF13" i="21" s="1"/>
  <c r="K14" i="21"/>
  <c r="AF14" i="21" s="1"/>
  <c r="K15" i="21"/>
  <c r="AF15" i="21" s="1"/>
  <c r="K16" i="21"/>
  <c r="AF16" i="21" s="1"/>
  <c r="K17" i="21"/>
  <c r="AF17" i="21" s="1"/>
  <c r="K18" i="21"/>
  <c r="AF18" i="21" s="1"/>
  <c r="K19" i="21"/>
  <c r="AF19" i="21" s="1"/>
  <c r="K20" i="21"/>
  <c r="AF20" i="21" s="1"/>
  <c r="K21" i="21"/>
  <c r="AF21" i="21" s="1"/>
  <c r="K22" i="21"/>
  <c r="AF22" i="21" s="1"/>
  <c r="K23" i="21"/>
  <c r="AF23" i="21" s="1"/>
  <c r="K24" i="21"/>
  <c r="AF24" i="21" s="1"/>
  <c r="K25" i="21"/>
  <c r="AF25" i="21" s="1"/>
  <c r="K26" i="21"/>
  <c r="AF26" i="21" s="1"/>
  <c r="K27" i="21"/>
  <c r="AF27" i="21" s="1"/>
  <c r="K28" i="21"/>
  <c r="AF28" i="21" s="1"/>
  <c r="K29" i="21"/>
  <c r="AF29" i="21" s="1"/>
  <c r="K30" i="21"/>
  <c r="AF30" i="21" s="1"/>
  <c r="K31" i="21"/>
  <c r="AF31" i="21" s="1"/>
  <c r="K32" i="21"/>
  <c r="AF32" i="21" s="1"/>
  <c r="K33" i="21"/>
  <c r="AF33" i="21" s="1"/>
  <c r="K34" i="21"/>
  <c r="AF34" i="21" s="1"/>
  <c r="K35" i="21"/>
  <c r="AF35" i="21" s="1"/>
  <c r="K6" i="21"/>
  <c r="AF6" i="21" s="1"/>
  <c r="B79" i="21"/>
  <c r="C79" i="21"/>
  <c r="B80" i="21"/>
  <c r="C80" i="21"/>
  <c r="B81" i="21"/>
  <c r="C81" i="21"/>
  <c r="B82" i="21"/>
  <c r="C82" i="21"/>
  <c r="B83" i="21"/>
  <c r="C83" i="21"/>
  <c r="B84" i="21"/>
  <c r="C84" i="21"/>
  <c r="B85" i="21"/>
  <c r="C85" i="21"/>
  <c r="B86" i="21"/>
  <c r="C86" i="21"/>
  <c r="B87" i="21"/>
  <c r="C87" i="21"/>
  <c r="B88" i="21"/>
  <c r="C88" i="21"/>
  <c r="B89" i="21"/>
  <c r="C89" i="21"/>
  <c r="B90" i="21"/>
  <c r="C90" i="21"/>
  <c r="B91" i="21"/>
  <c r="C91" i="21"/>
  <c r="B92" i="21"/>
  <c r="C92" i="21"/>
  <c r="B93" i="21"/>
  <c r="C93" i="21"/>
  <c r="B94" i="21"/>
  <c r="C94" i="21"/>
  <c r="B95" i="21"/>
  <c r="C95" i="21"/>
  <c r="B96" i="21"/>
  <c r="C96" i="21"/>
  <c r="B97" i="21"/>
  <c r="C97" i="21"/>
  <c r="B98" i="21"/>
  <c r="C98" i="21"/>
  <c r="B99" i="21"/>
  <c r="C99" i="21"/>
  <c r="B100" i="21"/>
  <c r="C100" i="21"/>
  <c r="B101" i="21"/>
  <c r="C101" i="21"/>
  <c r="C78" i="21"/>
  <c r="B78" i="21"/>
  <c r="B37" i="21"/>
  <c r="C37" i="21"/>
  <c r="B38" i="21"/>
  <c r="C38" i="21"/>
  <c r="B39" i="21"/>
  <c r="C39" i="21"/>
  <c r="B40" i="21"/>
  <c r="C40" i="21"/>
  <c r="B41" i="21"/>
  <c r="C41" i="21"/>
  <c r="B42" i="21"/>
  <c r="C42" i="21"/>
  <c r="B43" i="21"/>
  <c r="C43" i="21"/>
  <c r="B44" i="21"/>
  <c r="C44" i="21"/>
  <c r="B45" i="21"/>
  <c r="C45" i="21"/>
  <c r="B46" i="21"/>
  <c r="C46" i="21"/>
  <c r="B47" i="21"/>
  <c r="C47" i="21"/>
  <c r="B48" i="21"/>
  <c r="C48" i="21"/>
  <c r="B49" i="21"/>
  <c r="C49" i="21"/>
  <c r="B50" i="21"/>
  <c r="C50" i="21"/>
  <c r="B51" i="21"/>
  <c r="C51" i="21"/>
  <c r="B52" i="21"/>
  <c r="C52" i="21"/>
  <c r="B53" i="21"/>
  <c r="C53" i="21"/>
  <c r="B54" i="21"/>
  <c r="C54" i="21"/>
  <c r="B55" i="21"/>
  <c r="C55" i="21"/>
  <c r="B56" i="21"/>
  <c r="C56" i="21"/>
  <c r="B57" i="21"/>
  <c r="C57" i="21"/>
  <c r="B58" i="21"/>
  <c r="C58" i="21"/>
  <c r="B59" i="21"/>
  <c r="C59" i="21"/>
  <c r="B60" i="21"/>
  <c r="C60" i="21"/>
  <c r="B61" i="21"/>
  <c r="C61" i="21"/>
  <c r="B62" i="21"/>
  <c r="C62" i="21"/>
  <c r="B63" i="21"/>
  <c r="C63" i="21"/>
  <c r="B64" i="21"/>
  <c r="C64" i="21"/>
  <c r="B65" i="21"/>
  <c r="C65" i="21"/>
  <c r="B66" i="21"/>
  <c r="C66" i="21"/>
  <c r="B67" i="21"/>
  <c r="C67" i="21"/>
  <c r="B68" i="21"/>
  <c r="C68" i="21"/>
  <c r="B69" i="21"/>
  <c r="C69" i="21"/>
  <c r="B70" i="21"/>
  <c r="C70" i="21"/>
  <c r="B71" i="21"/>
  <c r="C71" i="21"/>
  <c r="B72" i="21"/>
  <c r="C72" i="21"/>
  <c r="B73" i="21"/>
  <c r="C73" i="21"/>
  <c r="B74" i="21"/>
  <c r="C74" i="21"/>
  <c r="B75" i="21"/>
  <c r="C75" i="21"/>
  <c r="B76" i="21"/>
  <c r="C76" i="21"/>
  <c r="B77" i="21"/>
  <c r="C77" i="21"/>
  <c r="C36" i="21"/>
  <c r="B36" i="21"/>
  <c r="B7" i="21"/>
  <c r="C7" i="21"/>
  <c r="B8" i="21"/>
  <c r="C8" i="21"/>
  <c r="B9" i="21"/>
  <c r="C9" i="21"/>
  <c r="B10" i="21"/>
  <c r="C10" i="21"/>
  <c r="B11" i="21"/>
  <c r="C11" i="21"/>
  <c r="B12" i="21"/>
  <c r="C12" i="21"/>
  <c r="B13" i="21"/>
  <c r="C13" i="21"/>
  <c r="B14" i="21"/>
  <c r="C14" i="21"/>
  <c r="B15" i="21"/>
  <c r="C15" i="21"/>
  <c r="B16" i="21"/>
  <c r="C16" i="21"/>
  <c r="B17" i="21"/>
  <c r="C17" i="21"/>
  <c r="B18" i="21"/>
  <c r="C18" i="21"/>
  <c r="B19" i="21"/>
  <c r="C19" i="21"/>
  <c r="B20" i="21"/>
  <c r="C20" i="21"/>
  <c r="B21" i="21"/>
  <c r="C21" i="21"/>
  <c r="B22" i="21"/>
  <c r="C22" i="21"/>
  <c r="B23" i="21"/>
  <c r="C23" i="21"/>
  <c r="B24" i="21"/>
  <c r="C24" i="21"/>
  <c r="B25" i="21"/>
  <c r="C25" i="21"/>
  <c r="B26" i="21"/>
  <c r="C26" i="21"/>
  <c r="B27" i="21"/>
  <c r="C27" i="21"/>
  <c r="B28" i="21"/>
  <c r="C28" i="21"/>
  <c r="B29" i="21"/>
  <c r="C29" i="21"/>
  <c r="B30" i="21"/>
  <c r="C30" i="21"/>
  <c r="B31" i="21"/>
  <c r="C31" i="21"/>
  <c r="B32" i="21"/>
  <c r="C32" i="21"/>
  <c r="B33" i="21"/>
  <c r="C33" i="21"/>
  <c r="B34" i="21"/>
  <c r="C34" i="21"/>
  <c r="B35" i="21"/>
  <c r="C35" i="21"/>
  <c r="C6" i="21"/>
  <c r="B6" i="21"/>
  <c r="G35" i="9"/>
  <c r="H35" i="9"/>
  <c r="I35" i="9"/>
  <c r="J35" i="9"/>
  <c r="K35" i="9"/>
  <c r="L35" i="9"/>
  <c r="H36" i="9"/>
  <c r="I36" i="9"/>
  <c r="H37" i="9"/>
  <c r="J37" i="9"/>
  <c r="H38" i="9"/>
  <c r="J38" i="9"/>
  <c r="F35" i="9"/>
  <c r="L28" i="9"/>
  <c r="F44" i="14"/>
  <c r="G44" i="14" s="1"/>
  <c r="H44" i="14" s="1"/>
  <c r="I44" i="14" s="1"/>
  <c r="J44" i="14" s="1"/>
  <c r="K44" i="14" s="1"/>
  <c r="L44" i="14" s="1"/>
  <c r="M44" i="14" s="1"/>
  <c r="N44" i="14" s="1"/>
  <c r="O44" i="14" s="1"/>
  <c r="P44" i="14" s="1"/>
  <c r="Q44" i="14" s="1"/>
  <c r="R44" i="14" s="1"/>
  <c r="S44" i="14" s="1"/>
  <c r="F39" i="14"/>
  <c r="E39" i="14"/>
  <c r="E41" i="14"/>
  <c r="E46" i="14" s="1"/>
  <c r="F46" i="14" s="1"/>
  <c r="G46" i="14" s="1"/>
  <c r="H46" i="14" s="1"/>
  <c r="I46" i="14" s="1"/>
  <c r="J46" i="14" s="1"/>
  <c r="K46" i="14" s="1"/>
  <c r="E38" i="14"/>
  <c r="E40" i="14" s="1"/>
  <c r="H30" i="9"/>
  <c r="I30" i="9"/>
  <c r="H31" i="9"/>
  <c r="J31" i="9"/>
  <c r="H32" i="9"/>
  <c r="J32" i="9"/>
  <c r="G29" i="9"/>
  <c r="H29" i="9"/>
  <c r="I29" i="9"/>
  <c r="J29" i="9"/>
  <c r="K29" i="9"/>
  <c r="L29" i="9"/>
  <c r="F29" i="9"/>
  <c r="B30" i="9"/>
  <c r="B36" i="9" s="1"/>
  <c r="B31" i="9"/>
  <c r="B37" i="9" s="1"/>
  <c r="B32" i="9"/>
  <c r="B38" i="9" s="1"/>
  <c r="B29" i="9"/>
  <c r="B35" i="9" s="1"/>
  <c r="I20" i="9"/>
  <c r="G18" i="9"/>
  <c r="G20" i="9"/>
  <c r="G22" i="9"/>
  <c r="G24" i="9"/>
  <c r="I17" i="9"/>
  <c r="J17" i="9"/>
  <c r="K17" i="9"/>
  <c r="L17" i="9"/>
  <c r="H17" i="9"/>
  <c r="K19" i="9"/>
  <c r="L19" i="9"/>
  <c r="K21" i="9"/>
  <c r="L21" i="9"/>
  <c r="K23" i="9"/>
  <c r="L23" i="9"/>
  <c r="H19" i="9"/>
  <c r="I19" i="9"/>
  <c r="J19" i="9"/>
  <c r="H21" i="9"/>
  <c r="I21" i="9"/>
  <c r="J21" i="9"/>
  <c r="H23" i="9"/>
  <c r="I23" i="9"/>
  <c r="J23" i="9"/>
  <c r="F18" i="9"/>
  <c r="F20" i="9"/>
  <c r="F22" i="9"/>
  <c r="F24" i="9"/>
  <c r="B18" i="9"/>
  <c r="B19" i="9"/>
  <c r="B20" i="9"/>
  <c r="B21" i="9"/>
  <c r="B22" i="9"/>
  <c r="B23" i="9"/>
  <c r="B24" i="9"/>
  <c r="B17" i="9"/>
  <c r="AG148" i="16"/>
  <c r="AF16" i="16"/>
  <c r="AF17" i="16"/>
  <c r="AF18" i="16"/>
  <c r="AF19" i="16"/>
  <c r="AF20" i="16"/>
  <c r="AF21" i="16"/>
  <c r="AF22" i="16"/>
  <c r="AF23" i="16"/>
  <c r="AF24" i="16"/>
  <c r="AF25" i="16"/>
  <c r="AF26" i="16"/>
  <c r="AF28" i="16"/>
  <c r="AF29" i="16"/>
  <c r="AF30" i="16"/>
  <c r="AF31" i="16"/>
  <c r="AF32" i="16"/>
  <c r="AF33" i="16"/>
  <c r="AF34" i="16"/>
  <c r="AF35" i="16"/>
  <c r="AF36" i="16"/>
  <c r="AF37" i="16"/>
  <c r="AF38" i="16"/>
  <c r="AF40" i="16"/>
  <c r="AF41" i="16"/>
  <c r="AF42" i="16"/>
  <c r="AF43" i="16"/>
  <c r="AF44" i="16"/>
  <c r="AF45" i="16"/>
  <c r="AF46" i="16"/>
  <c r="AF47" i="16"/>
  <c r="AF48" i="16"/>
  <c r="AF49" i="16"/>
  <c r="AF50" i="16"/>
  <c r="AF52" i="16"/>
  <c r="AF53" i="16"/>
  <c r="AF54" i="16"/>
  <c r="AF55" i="16"/>
  <c r="AF56" i="16"/>
  <c r="AF57" i="16"/>
  <c r="AF58" i="16"/>
  <c r="AF59" i="16"/>
  <c r="AF60" i="16"/>
  <c r="AF61" i="16"/>
  <c r="AF62" i="16"/>
  <c r="AF64" i="16"/>
  <c r="AF65" i="16"/>
  <c r="AF66" i="16"/>
  <c r="AF67" i="16"/>
  <c r="AF68" i="16"/>
  <c r="AF69" i="16"/>
  <c r="AF70" i="16"/>
  <c r="AF71" i="16"/>
  <c r="AF72" i="16"/>
  <c r="AF73" i="16"/>
  <c r="AF74" i="16"/>
  <c r="AF76" i="16"/>
  <c r="AF77" i="16"/>
  <c r="AF78" i="16"/>
  <c r="AF79" i="16"/>
  <c r="AF80" i="16"/>
  <c r="AF81" i="16"/>
  <c r="AF82" i="16"/>
  <c r="AF83" i="16"/>
  <c r="AF84" i="16"/>
  <c r="AF85" i="16"/>
  <c r="AF86" i="16"/>
  <c r="AF88" i="16"/>
  <c r="AF89" i="16"/>
  <c r="AF90" i="16"/>
  <c r="AF91" i="16"/>
  <c r="AF92" i="16"/>
  <c r="AF93" i="16"/>
  <c r="AF94" i="16"/>
  <c r="AF95" i="16"/>
  <c r="AF96" i="16"/>
  <c r="AF97" i="16"/>
  <c r="AF98" i="16"/>
  <c r="AF100" i="16"/>
  <c r="AF101" i="16"/>
  <c r="AF102" i="16"/>
  <c r="AF103" i="16"/>
  <c r="AF104" i="16"/>
  <c r="AF105" i="16"/>
  <c r="AF106" i="16"/>
  <c r="AF107" i="16"/>
  <c r="AF108" i="16"/>
  <c r="AF109" i="16"/>
  <c r="AF110" i="16"/>
  <c r="AF112" i="16"/>
  <c r="AF113" i="16"/>
  <c r="AF114" i="16"/>
  <c r="AF115" i="16"/>
  <c r="AF116" i="16"/>
  <c r="AF117" i="16"/>
  <c r="AF118" i="16"/>
  <c r="AF119" i="16"/>
  <c r="AF120" i="16"/>
  <c r="AF121" i="16"/>
  <c r="AF122" i="16"/>
  <c r="AF124" i="16"/>
  <c r="AF125" i="16"/>
  <c r="AF126" i="16"/>
  <c r="AF127" i="16"/>
  <c r="AF128" i="16"/>
  <c r="AF129" i="16"/>
  <c r="AF130" i="16"/>
  <c r="AF131" i="16"/>
  <c r="AF132" i="16"/>
  <c r="AF133" i="16"/>
  <c r="AF134" i="16"/>
  <c r="AF136" i="16"/>
  <c r="AF137" i="16"/>
  <c r="AF138" i="16"/>
  <c r="AF139" i="16"/>
  <c r="AF140" i="16"/>
  <c r="AF141" i="16"/>
  <c r="AF142" i="16"/>
  <c r="AF143" i="16"/>
  <c r="AF144" i="16"/>
  <c r="AF145" i="16"/>
  <c r="AF147" i="16"/>
  <c r="X152" i="16"/>
  <c r="T93" i="18" l="1"/>
  <c r="T89" i="18"/>
  <c r="AB45" i="24"/>
  <c r="U38" i="22"/>
  <c r="S81" i="26"/>
  <c r="S131" i="26"/>
  <c r="S163" i="26"/>
  <c r="S124" i="26"/>
  <c r="S156" i="26"/>
  <c r="S186" i="26"/>
  <c r="S73" i="26"/>
  <c r="S86" i="26"/>
  <c r="S139" i="26"/>
  <c r="S170" i="26"/>
  <c r="S132" i="26"/>
  <c r="S164" i="26"/>
  <c r="S187" i="26"/>
  <c r="S95" i="26"/>
  <c r="S77" i="26"/>
  <c r="S108" i="26"/>
  <c r="S90" i="26"/>
  <c r="S115" i="26"/>
  <c r="S148" i="26"/>
  <c r="S179" i="26"/>
  <c r="S140" i="26"/>
  <c r="S171" i="26"/>
  <c r="S99" i="26"/>
  <c r="S123" i="26"/>
  <c r="S155" i="26"/>
  <c r="S116" i="26"/>
  <c r="S147" i="26"/>
  <c r="S178" i="26"/>
  <c r="S103" i="26"/>
  <c r="L46" i="14"/>
  <c r="M46" i="14" s="1"/>
  <c r="N46" i="14" s="1"/>
  <c r="O46" i="14" s="1"/>
  <c r="P46" i="14" s="1"/>
  <c r="Q46" i="14" s="1"/>
  <c r="R46" i="14" s="1"/>
  <c r="S46" i="14" s="1"/>
  <c r="K47" i="14"/>
  <c r="C19" i="22"/>
  <c r="E12" i="22"/>
  <c r="C12" i="22" s="1"/>
  <c r="T98" i="18"/>
  <c r="S70" i="21"/>
  <c r="AF70" i="21" s="1"/>
  <c r="T102" i="18"/>
  <c r="S74" i="21"/>
  <c r="AF74" i="21" s="1"/>
  <c r="S107" i="26"/>
  <c r="AK4" i="26"/>
  <c r="N38" i="22"/>
  <c r="R38" i="22"/>
  <c r="H58" i="22"/>
  <c r="T104" i="18"/>
  <c r="Z336" i="24"/>
  <c r="S102" i="26"/>
  <c r="S98" i="26"/>
  <c r="S93" i="26"/>
  <c r="S80" i="26"/>
  <c r="S76" i="26"/>
  <c r="S72" i="26"/>
  <c r="S109" i="26"/>
  <c r="S118" i="26"/>
  <c r="S125" i="26"/>
  <c r="S133" i="26"/>
  <c r="S142" i="26"/>
  <c r="S150" i="26"/>
  <c r="S157" i="26"/>
  <c r="S165" i="26"/>
  <c r="S172" i="26"/>
  <c r="S110" i="26"/>
  <c r="S117" i="26"/>
  <c r="S126" i="26"/>
  <c r="S134" i="26"/>
  <c r="S141" i="26"/>
  <c r="S149" i="26"/>
  <c r="S158" i="26"/>
  <c r="S181" i="26"/>
  <c r="S173" i="26"/>
  <c r="S180" i="26"/>
  <c r="S188" i="26"/>
  <c r="S189" i="26"/>
  <c r="S89" i="26"/>
  <c r="S85" i="26"/>
  <c r="S82" i="26"/>
  <c r="G38" i="22"/>
  <c r="K38" i="22"/>
  <c r="O38" i="22"/>
  <c r="U58" i="22"/>
  <c r="S105" i="26"/>
  <c r="S92" i="26"/>
  <c r="S88" i="26"/>
  <c r="S84" i="26"/>
  <c r="S111" i="26"/>
  <c r="S119" i="26"/>
  <c r="S127" i="26"/>
  <c r="S135" i="26"/>
  <c r="S144" i="26"/>
  <c r="S152" i="26"/>
  <c r="S159" i="26"/>
  <c r="S166" i="26"/>
  <c r="S174" i="26"/>
  <c r="S112" i="26"/>
  <c r="S120" i="26"/>
  <c r="S128" i="26"/>
  <c r="S136" i="26"/>
  <c r="S143" i="26"/>
  <c r="S151" i="26"/>
  <c r="S160" i="26"/>
  <c r="S167" i="26"/>
  <c r="S175" i="26"/>
  <c r="S182" i="26"/>
  <c r="S183" i="26"/>
  <c r="S101" i="26"/>
  <c r="S97" i="26"/>
  <c r="S94" i="26"/>
  <c r="S79" i="26"/>
  <c r="S75" i="26"/>
  <c r="S71" i="26"/>
  <c r="S76" i="21"/>
  <c r="AF76" i="21" s="1"/>
  <c r="Q7" i="25"/>
  <c r="Z336" i="25"/>
  <c r="S104" i="26"/>
  <c r="S100" i="26"/>
  <c r="S96" i="26"/>
  <c r="S78" i="26"/>
  <c r="S74" i="26"/>
  <c r="Q70" i="26"/>
  <c r="C340" i="26"/>
  <c r="C343" i="26" s="1"/>
  <c r="S113" i="26"/>
  <c r="S121" i="26"/>
  <c r="S130" i="26"/>
  <c r="S137" i="26"/>
  <c r="S146" i="26"/>
  <c r="S153" i="26"/>
  <c r="S161" i="26"/>
  <c r="S168" i="26"/>
  <c r="S176" i="26"/>
  <c r="S114" i="26"/>
  <c r="S122" i="26"/>
  <c r="S129" i="26"/>
  <c r="S138" i="26"/>
  <c r="S145" i="26"/>
  <c r="S154" i="26"/>
  <c r="S162" i="26"/>
  <c r="S169" i="26"/>
  <c r="S177" i="26"/>
  <c r="S184" i="26"/>
  <c r="S185" i="26"/>
  <c r="S106" i="26"/>
  <c r="S91" i="26"/>
  <c r="S87" i="26"/>
  <c r="S83" i="26"/>
  <c r="C343" i="23"/>
  <c r="Q71" i="26"/>
  <c r="R70" i="26"/>
  <c r="AA34" i="26"/>
  <c r="AB45" i="26"/>
  <c r="AF189" i="26"/>
  <c r="AH189" i="26" s="1"/>
  <c r="AF188" i="26"/>
  <c r="AH188" i="26" s="1"/>
  <c r="AF186" i="26"/>
  <c r="AH186" i="26" s="1"/>
  <c r="AF184" i="26"/>
  <c r="AH184" i="26" s="1"/>
  <c r="AF182" i="26"/>
  <c r="AH182" i="26" s="1"/>
  <c r="AF187" i="26"/>
  <c r="AH187" i="26" s="1"/>
  <c r="AF185" i="26"/>
  <c r="AH185" i="26" s="1"/>
  <c r="AF183" i="26"/>
  <c r="AH183" i="26" s="1"/>
  <c r="AF181" i="26"/>
  <c r="AH181" i="26" s="1"/>
  <c r="AF179" i="26"/>
  <c r="AH179" i="26" s="1"/>
  <c r="AF177" i="26"/>
  <c r="AH177" i="26" s="1"/>
  <c r="AF176" i="26"/>
  <c r="AH176" i="26" s="1"/>
  <c r="AF174" i="26"/>
  <c r="AH174" i="26" s="1"/>
  <c r="AF172" i="26"/>
  <c r="AH172" i="26" s="1"/>
  <c r="AF170" i="26"/>
  <c r="AH170" i="26" s="1"/>
  <c r="AF168" i="26"/>
  <c r="AH168" i="26" s="1"/>
  <c r="AF166" i="26"/>
  <c r="AF163" i="26"/>
  <c r="AH163" i="26" s="1"/>
  <c r="AF161" i="26"/>
  <c r="AH161" i="26" s="1"/>
  <c r="AF159" i="26"/>
  <c r="AH159" i="26" s="1"/>
  <c r="AF157" i="26"/>
  <c r="AH157" i="26" s="1"/>
  <c r="AF155" i="26"/>
  <c r="AH155" i="26" s="1"/>
  <c r="AF180" i="26"/>
  <c r="AH180" i="26" s="1"/>
  <c r="AF178" i="26"/>
  <c r="AF175" i="26"/>
  <c r="AH175" i="26" s="1"/>
  <c r="AF173" i="26"/>
  <c r="AH173" i="26" s="1"/>
  <c r="AF171" i="26"/>
  <c r="AH171" i="26" s="1"/>
  <c r="AF169" i="26"/>
  <c r="AH169" i="26" s="1"/>
  <c r="AF167" i="26"/>
  <c r="AH167" i="26" s="1"/>
  <c r="AF165" i="26"/>
  <c r="AH165" i="26" s="1"/>
  <c r="AF164" i="26"/>
  <c r="AH164" i="26" s="1"/>
  <c r="AF162" i="26"/>
  <c r="AH162" i="26" s="1"/>
  <c r="AF160" i="26"/>
  <c r="AH160" i="26" s="1"/>
  <c r="AF158" i="26"/>
  <c r="AH158" i="26" s="1"/>
  <c r="AF156" i="26"/>
  <c r="AH156" i="26" s="1"/>
  <c r="AF154" i="26"/>
  <c r="AF7" i="26"/>
  <c r="AJ165" i="26"/>
  <c r="O166" i="26"/>
  <c r="AI69" i="26"/>
  <c r="AH58" i="26"/>
  <c r="K46" i="26"/>
  <c r="J47" i="26"/>
  <c r="Y154" i="26"/>
  <c r="X155" i="26"/>
  <c r="Z336" i="26"/>
  <c r="C47" i="26"/>
  <c r="D46" i="26"/>
  <c r="L336" i="26"/>
  <c r="AI57" i="26"/>
  <c r="AH46" i="26"/>
  <c r="AE191" i="26"/>
  <c r="AF190" i="26"/>
  <c r="AB69" i="26"/>
  <c r="AA58" i="26"/>
  <c r="AB57" i="26"/>
  <c r="AA46" i="26"/>
  <c r="AH34" i="26"/>
  <c r="AI45" i="26"/>
  <c r="AG336" i="26"/>
  <c r="J48" i="25"/>
  <c r="K47" i="25"/>
  <c r="M47" i="25" s="1"/>
  <c r="AB45" i="25"/>
  <c r="AA34" i="25"/>
  <c r="AI57" i="25"/>
  <c r="AH46" i="25"/>
  <c r="AJ165" i="25"/>
  <c r="O166" i="25"/>
  <c r="C47" i="25"/>
  <c r="D46" i="25"/>
  <c r="AF189" i="25"/>
  <c r="AH189" i="25" s="1"/>
  <c r="AF188" i="25"/>
  <c r="AH188" i="25" s="1"/>
  <c r="AF186" i="25"/>
  <c r="AH186" i="25" s="1"/>
  <c r="AF184" i="25"/>
  <c r="AH184" i="25" s="1"/>
  <c r="AF182" i="25"/>
  <c r="AH182" i="25" s="1"/>
  <c r="AF180" i="25"/>
  <c r="AH180" i="25" s="1"/>
  <c r="AF187" i="25"/>
  <c r="AH187" i="25" s="1"/>
  <c r="AF185" i="25"/>
  <c r="AH185" i="25" s="1"/>
  <c r="AF183" i="25"/>
  <c r="AH183" i="25" s="1"/>
  <c r="AF181" i="25"/>
  <c r="AH181" i="25" s="1"/>
  <c r="AF179" i="25"/>
  <c r="AH179" i="25" s="1"/>
  <c r="AF177" i="25"/>
  <c r="AH177" i="25" s="1"/>
  <c r="AF176" i="25"/>
  <c r="AH176" i="25" s="1"/>
  <c r="AF174" i="25"/>
  <c r="AH174" i="25" s="1"/>
  <c r="AF172" i="25"/>
  <c r="AH172" i="25" s="1"/>
  <c r="AF170" i="25"/>
  <c r="AH170" i="25" s="1"/>
  <c r="AF168" i="25"/>
  <c r="AH168" i="25" s="1"/>
  <c r="AF166" i="25"/>
  <c r="AF164" i="25"/>
  <c r="AH164" i="25" s="1"/>
  <c r="AF162" i="25"/>
  <c r="AH162" i="25" s="1"/>
  <c r="AF160" i="25"/>
  <c r="AH160" i="25" s="1"/>
  <c r="AF158" i="25"/>
  <c r="AH158" i="25" s="1"/>
  <c r="AF156" i="25"/>
  <c r="AH156" i="25" s="1"/>
  <c r="AF154" i="25"/>
  <c r="AF178" i="25"/>
  <c r="AF175" i="25"/>
  <c r="AH175" i="25" s="1"/>
  <c r="AF173" i="25"/>
  <c r="AH173" i="25" s="1"/>
  <c r="AF171" i="25"/>
  <c r="AH171" i="25" s="1"/>
  <c r="AF169" i="25"/>
  <c r="AH169" i="25" s="1"/>
  <c r="AF167" i="25"/>
  <c r="AH167" i="25" s="1"/>
  <c r="AF165" i="25"/>
  <c r="AH165" i="25" s="1"/>
  <c r="AF163" i="25"/>
  <c r="AH163" i="25" s="1"/>
  <c r="AF161" i="25"/>
  <c r="AH161" i="25" s="1"/>
  <c r="AF159" i="25"/>
  <c r="AH159" i="25" s="1"/>
  <c r="AF157" i="25"/>
  <c r="AH157" i="25" s="1"/>
  <c r="AF155" i="25"/>
  <c r="AH155" i="25" s="1"/>
  <c r="AF7" i="25"/>
  <c r="AH34" i="25"/>
  <c r="AI45" i="25"/>
  <c r="AI69" i="25"/>
  <c r="AH58" i="25"/>
  <c r="AB69" i="25"/>
  <c r="AA58" i="25"/>
  <c r="AB57" i="25"/>
  <c r="AA46" i="25"/>
  <c r="AG336" i="25"/>
  <c r="E336" i="25"/>
  <c r="AF190" i="25"/>
  <c r="AE191" i="25"/>
  <c r="M46" i="25"/>
  <c r="Y154" i="25"/>
  <c r="X155" i="25"/>
  <c r="L336" i="25"/>
  <c r="AB69" i="24"/>
  <c r="AA58" i="24"/>
  <c r="AB57" i="24"/>
  <c r="AA46" i="24"/>
  <c r="AI177" i="24"/>
  <c r="AH166" i="24"/>
  <c r="AI45" i="24"/>
  <c r="R58" i="24"/>
  <c r="Q59" i="24"/>
  <c r="AE191" i="24"/>
  <c r="AF190" i="24"/>
  <c r="L336" i="24"/>
  <c r="AH58" i="24"/>
  <c r="AI69" i="24"/>
  <c r="AI57" i="24"/>
  <c r="AH46" i="24"/>
  <c r="O154" i="24"/>
  <c r="AJ153" i="24"/>
  <c r="AI165" i="24"/>
  <c r="AH154" i="24"/>
  <c r="AI189" i="24"/>
  <c r="AH178" i="24"/>
  <c r="J47" i="24"/>
  <c r="K46" i="24"/>
  <c r="C47" i="24"/>
  <c r="D46" i="24"/>
  <c r="Y154" i="24"/>
  <c r="X155" i="24"/>
  <c r="AG336" i="24"/>
  <c r="S336" i="24"/>
  <c r="AI45" i="23"/>
  <c r="AH34" i="23"/>
  <c r="D46" i="23"/>
  <c r="C47" i="23"/>
  <c r="AI57" i="23"/>
  <c r="AH46" i="23"/>
  <c r="O166" i="23"/>
  <c r="AJ165" i="23"/>
  <c r="X155" i="23"/>
  <c r="R46" i="23"/>
  <c r="Y7" i="23"/>
  <c r="AF190" i="23" s="1"/>
  <c r="Q59" i="23"/>
  <c r="R58" i="23"/>
  <c r="AA58" i="23"/>
  <c r="AB69" i="23"/>
  <c r="L336" i="23"/>
  <c r="J47" i="23"/>
  <c r="K46" i="23"/>
  <c r="AB45" i="23"/>
  <c r="AA34" i="23"/>
  <c r="AI69" i="23"/>
  <c r="AH58" i="23"/>
  <c r="AB57" i="23"/>
  <c r="AA46" i="23"/>
  <c r="Z336" i="23"/>
  <c r="U45" i="23"/>
  <c r="T34" i="23"/>
  <c r="AE191" i="23"/>
  <c r="S336" i="23"/>
  <c r="C33" i="22"/>
  <c r="L38" i="22"/>
  <c r="P38" i="22"/>
  <c r="T38" i="22"/>
  <c r="S38" i="22"/>
  <c r="F12" i="22"/>
  <c r="D35" i="22"/>
  <c r="D55" i="22" s="1"/>
  <c r="E48" i="22"/>
  <c r="D43" i="22"/>
  <c r="D45" i="22"/>
  <c r="D47" i="22"/>
  <c r="D49" i="22"/>
  <c r="D34" i="22"/>
  <c r="I35" i="22"/>
  <c r="F35" i="22" s="1"/>
  <c r="D36" i="22"/>
  <c r="D56" i="22" s="1"/>
  <c r="I54" i="22"/>
  <c r="C53" i="22"/>
  <c r="I34" i="22"/>
  <c r="I36" i="22"/>
  <c r="F36" i="22" s="1"/>
  <c r="AF61" i="21"/>
  <c r="O102" i="21"/>
  <c r="AF37" i="21"/>
  <c r="K102" i="21"/>
  <c r="S336" i="26" l="1"/>
  <c r="S102" i="21"/>
  <c r="AK4" i="25"/>
  <c r="AL4" i="25" s="1"/>
  <c r="S115" i="25"/>
  <c r="S70" i="25"/>
  <c r="S77" i="25"/>
  <c r="S83" i="25"/>
  <c r="S91" i="25"/>
  <c r="S97" i="25"/>
  <c r="Q70" i="25"/>
  <c r="S78" i="25"/>
  <c r="S81" i="25"/>
  <c r="S84" i="25"/>
  <c r="S92" i="25"/>
  <c r="S98" i="25"/>
  <c r="S111" i="25"/>
  <c r="C340" i="25"/>
  <c r="S187" i="25"/>
  <c r="S188" i="25"/>
  <c r="S180" i="25"/>
  <c r="S173" i="25"/>
  <c r="S163" i="25"/>
  <c r="S155" i="25"/>
  <c r="S148" i="25"/>
  <c r="S139" i="25"/>
  <c r="S131" i="25"/>
  <c r="S174" i="25"/>
  <c r="S166" i="25"/>
  <c r="S160" i="25"/>
  <c r="S151" i="25"/>
  <c r="S143" i="25"/>
  <c r="S136" i="25"/>
  <c r="S128" i="25"/>
  <c r="S120" i="25"/>
  <c r="S112" i="25"/>
  <c r="S75" i="25"/>
  <c r="S82" i="25"/>
  <c r="S89" i="25"/>
  <c r="S95" i="25"/>
  <c r="S103" i="25"/>
  <c r="S76" i="25"/>
  <c r="S90" i="25"/>
  <c r="S93" i="25"/>
  <c r="S96" i="25"/>
  <c r="S104" i="25"/>
  <c r="S185" i="25"/>
  <c r="S186" i="25"/>
  <c r="S178" i="25"/>
  <c r="S171" i="25"/>
  <c r="S161" i="25"/>
  <c r="S153" i="25"/>
  <c r="S146" i="25"/>
  <c r="S137" i="25"/>
  <c r="S130" i="25"/>
  <c r="S172" i="25"/>
  <c r="S165" i="25"/>
  <c r="S158" i="25"/>
  <c r="S149" i="25"/>
  <c r="S141" i="25"/>
  <c r="S134" i="25"/>
  <c r="S126" i="25"/>
  <c r="S117" i="25"/>
  <c r="S110" i="25"/>
  <c r="S121" i="25"/>
  <c r="S125" i="25"/>
  <c r="S71" i="25"/>
  <c r="S73" i="25"/>
  <c r="S87" i="25"/>
  <c r="S94" i="25"/>
  <c r="S101" i="25"/>
  <c r="S107" i="25"/>
  <c r="S74" i="25"/>
  <c r="S88" i="25"/>
  <c r="S102" i="25"/>
  <c r="S105" i="25"/>
  <c r="S109" i="25"/>
  <c r="S113" i="25"/>
  <c r="S183" i="25"/>
  <c r="S184" i="25"/>
  <c r="S177" i="25"/>
  <c r="S169" i="25"/>
  <c r="S159" i="25"/>
  <c r="S152" i="25"/>
  <c r="S144" i="25"/>
  <c r="S135" i="25"/>
  <c r="S179" i="25"/>
  <c r="S170" i="25"/>
  <c r="S164" i="25"/>
  <c r="S156" i="25"/>
  <c r="S147" i="25"/>
  <c r="S140" i="25"/>
  <c r="S132" i="25"/>
  <c r="S124" i="25"/>
  <c r="S116" i="25"/>
  <c r="S108" i="25"/>
  <c r="S118" i="25"/>
  <c r="S80" i="25"/>
  <c r="S100" i="25"/>
  <c r="S175" i="25"/>
  <c r="S142" i="25"/>
  <c r="S162" i="25"/>
  <c r="S129" i="25"/>
  <c r="S85" i="25"/>
  <c r="S106" i="25"/>
  <c r="S189" i="25"/>
  <c r="S167" i="25"/>
  <c r="S133" i="25"/>
  <c r="S154" i="25"/>
  <c r="S122" i="25"/>
  <c r="S127" i="25"/>
  <c r="S86" i="25"/>
  <c r="S181" i="25"/>
  <c r="S157" i="25"/>
  <c r="S176" i="25"/>
  <c r="S145" i="25"/>
  <c r="S114" i="25"/>
  <c r="S123" i="25"/>
  <c r="S79" i="25"/>
  <c r="S99" i="25"/>
  <c r="S72" i="25"/>
  <c r="S182" i="25"/>
  <c r="S150" i="25"/>
  <c r="S168" i="25"/>
  <c r="S138" i="25"/>
  <c r="S119" i="25"/>
  <c r="AE192" i="26"/>
  <c r="AF191" i="26"/>
  <c r="AH191" i="26" s="1"/>
  <c r="AA154" i="26"/>
  <c r="AI165" i="26"/>
  <c r="AH154" i="26"/>
  <c r="AI189" i="26"/>
  <c r="AH178" i="26"/>
  <c r="AK45" i="26"/>
  <c r="R71" i="26"/>
  <c r="T71" i="26" s="1"/>
  <c r="Q72" i="26"/>
  <c r="Y155" i="26"/>
  <c r="AA155" i="26" s="1"/>
  <c r="X156" i="26"/>
  <c r="AH166" i="26"/>
  <c r="AI177" i="26"/>
  <c r="T70" i="26"/>
  <c r="AH190" i="26"/>
  <c r="C48" i="26"/>
  <c r="D47" i="26"/>
  <c r="F47" i="26" s="1"/>
  <c r="M46" i="26"/>
  <c r="F46" i="26"/>
  <c r="S338" i="26"/>
  <c r="S339" i="26"/>
  <c r="J48" i="26"/>
  <c r="K47" i="26"/>
  <c r="M47" i="26" s="1"/>
  <c r="O178" i="26"/>
  <c r="AJ189" i="26" s="1"/>
  <c r="AJ177" i="26"/>
  <c r="AA154" i="25"/>
  <c r="AE192" i="25"/>
  <c r="AF191" i="25"/>
  <c r="AH191" i="25" s="1"/>
  <c r="X156" i="25"/>
  <c r="Y155" i="25"/>
  <c r="AA155" i="25" s="1"/>
  <c r="AH190" i="25"/>
  <c r="AH166" i="25"/>
  <c r="AI177" i="25"/>
  <c r="J49" i="25"/>
  <c r="K48" i="25"/>
  <c r="C48" i="25"/>
  <c r="D47" i="25"/>
  <c r="F47" i="25" s="1"/>
  <c r="AI165" i="25"/>
  <c r="AH154" i="25"/>
  <c r="F46" i="25"/>
  <c r="AK45" i="25"/>
  <c r="AI189" i="25"/>
  <c r="AH178" i="25"/>
  <c r="O178" i="25"/>
  <c r="AJ189" i="25" s="1"/>
  <c r="AJ177" i="25"/>
  <c r="F46" i="24"/>
  <c r="S338" i="24"/>
  <c r="S339" i="24"/>
  <c r="AA154" i="24"/>
  <c r="J48" i="24"/>
  <c r="K47" i="24"/>
  <c r="M47" i="24" s="1"/>
  <c r="AE192" i="24"/>
  <c r="AF191" i="24"/>
  <c r="R59" i="24"/>
  <c r="T59" i="24" s="1"/>
  <c r="Q60" i="24"/>
  <c r="Y155" i="24"/>
  <c r="X156" i="24"/>
  <c r="M46" i="24"/>
  <c r="O166" i="24"/>
  <c r="AJ165" i="24"/>
  <c r="AH190" i="24"/>
  <c r="AK45" i="24"/>
  <c r="C48" i="24"/>
  <c r="D47" i="24"/>
  <c r="F47" i="24" s="1"/>
  <c r="T58" i="24"/>
  <c r="S338" i="23"/>
  <c r="S339" i="23"/>
  <c r="AK45" i="23"/>
  <c r="J48" i="23"/>
  <c r="K47" i="23"/>
  <c r="M47" i="23" s="1"/>
  <c r="T58" i="23"/>
  <c r="Y155" i="23"/>
  <c r="AA155" i="23" s="1"/>
  <c r="X156" i="23"/>
  <c r="C48" i="23"/>
  <c r="D47" i="23"/>
  <c r="F47" i="23" s="1"/>
  <c r="M46" i="23"/>
  <c r="U57" i="23"/>
  <c r="T46" i="23"/>
  <c r="AF188" i="23"/>
  <c r="AH188" i="23" s="1"/>
  <c r="AF184" i="23"/>
  <c r="AH184" i="23" s="1"/>
  <c r="AF180" i="23"/>
  <c r="AH180" i="23" s="1"/>
  <c r="AF186" i="23"/>
  <c r="AH186" i="23" s="1"/>
  <c r="AF182" i="23"/>
  <c r="AH182" i="23" s="1"/>
  <c r="AF178" i="23"/>
  <c r="AF187" i="23"/>
  <c r="AH187" i="23" s="1"/>
  <c r="AF185" i="23"/>
  <c r="AH185" i="23" s="1"/>
  <c r="AF183" i="23"/>
  <c r="AH183" i="23" s="1"/>
  <c r="AF181" i="23"/>
  <c r="AH181" i="23" s="1"/>
  <c r="AF179" i="23"/>
  <c r="AH179" i="23" s="1"/>
  <c r="AF174" i="23"/>
  <c r="AH174" i="23" s="1"/>
  <c r="AF172" i="23"/>
  <c r="AH172" i="23" s="1"/>
  <c r="AF170" i="23"/>
  <c r="AH170" i="23" s="1"/>
  <c r="AF167" i="23"/>
  <c r="AH167" i="23" s="1"/>
  <c r="AF189" i="23"/>
  <c r="AH189" i="23" s="1"/>
  <c r="AF166" i="23"/>
  <c r="AF164" i="23"/>
  <c r="AH164" i="23" s="1"/>
  <c r="AF162" i="23"/>
  <c r="AH162" i="23" s="1"/>
  <c r="AF160" i="23"/>
  <c r="AH160" i="23" s="1"/>
  <c r="AF158" i="23"/>
  <c r="AH158" i="23" s="1"/>
  <c r="AF156" i="23"/>
  <c r="AH156" i="23" s="1"/>
  <c r="AF154" i="23"/>
  <c r="AF177" i="23"/>
  <c r="AH177" i="23" s="1"/>
  <c r="AF173" i="23"/>
  <c r="AH173" i="23" s="1"/>
  <c r="AF171" i="23"/>
  <c r="AH171" i="23" s="1"/>
  <c r="AF169" i="23"/>
  <c r="AH169" i="23" s="1"/>
  <c r="AF165" i="23"/>
  <c r="AH165" i="23" s="1"/>
  <c r="AF176" i="23"/>
  <c r="AH176" i="23" s="1"/>
  <c r="AF175" i="23"/>
  <c r="AH175" i="23" s="1"/>
  <c r="AF168" i="23"/>
  <c r="AH168" i="23" s="1"/>
  <c r="AF163" i="23"/>
  <c r="AH163" i="23" s="1"/>
  <c r="AF161" i="23"/>
  <c r="AH161" i="23" s="1"/>
  <c r="AF159" i="23"/>
  <c r="AH159" i="23" s="1"/>
  <c r="AF157" i="23"/>
  <c r="AH157" i="23" s="1"/>
  <c r="AF155" i="23"/>
  <c r="AH155" i="23" s="1"/>
  <c r="AF7" i="23"/>
  <c r="AF191" i="23"/>
  <c r="AH191" i="23" s="1"/>
  <c r="AE192" i="23"/>
  <c r="AH190" i="23"/>
  <c r="Q60" i="23"/>
  <c r="R59" i="23"/>
  <c r="O178" i="23"/>
  <c r="AJ189" i="23" s="1"/>
  <c r="AJ177" i="23"/>
  <c r="F46" i="23"/>
  <c r="Y154" i="23"/>
  <c r="AF102" i="21"/>
  <c r="F34" i="22"/>
  <c r="I33" i="22"/>
  <c r="F33" i="22" s="1"/>
  <c r="F54" i="22"/>
  <c r="F53" i="22" s="1"/>
  <c r="I53" i="22"/>
  <c r="D54" i="22"/>
  <c r="D53" i="22" s="1"/>
  <c r="D33" i="22"/>
  <c r="J23" i="22"/>
  <c r="J21" i="22" s="1"/>
  <c r="J38" i="22" s="1"/>
  <c r="I23" i="22"/>
  <c r="I21" i="22" s="1"/>
  <c r="J148" i="16"/>
  <c r="S148" i="16"/>
  <c r="F153" i="16"/>
  <c r="G152" i="16"/>
  <c r="F152" i="16"/>
  <c r="E152" i="16"/>
  <c r="D151" i="16"/>
  <c r="E151" i="16" s="1"/>
  <c r="F151" i="16" s="1"/>
  <c r="G151" i="16" s="1"/>
  <c r="R156" i="16"/>
  <c r="R16" i="16"/>
  <c r="R28" i="16" s="1"/>
  <c r="R40" i="16" s="1"/>
  <c r="R52" i="16" s="1"/>
  <c r="R64" i="16" s="1"/>
  <c r="R76" i="16" s="1"/>
  <c r="R88" i="16" s="1"/>
  <c r="R100" i="16" s="1"/>
  <c r="R112" i="16" s="1"/>
  <c r="R124" i="16" s="1"/>
  <c r="R136" i="16" s="1"/>
  <c r="I156" i="16"/>
  <c r="I16" i="16"/>
  <c r="I28" i="16" s="1"/>
  <c r="I40" i="16" s="1"/>
  <c r="I52" i="16" s="1"/>
  <c r="I64" i="16" s="1"/>
  <c r="I76" i="16" s="1"/>
  <c r="I88" i="16" s="1"/>
  <c r="I100" i="16" s="1"/>
  <c r="I112" i="16" s="1"/>
  <c r="I124" i="16" s="1"/>
  <c r="I136" i="16" s="1"/>
  <c r="B16" i="16"/>
  <c r="B28" i="16" s="1"/>
  <c r="B40" i="16" s="1"/>
  <c r="B52" i="16" s="1"/>
  <c r="B64" i="16" s="1"/>
  <c r="B76" i="16" s="1"/>
  <c r="B88" i="16" s="1"/>
  <c r="B100" i="16" s="1"/>
  <c r="B112" i="16" s="1"/>
  <c r="B124" i="16" s="1"/>
  <c r="B136" i="16" s="1"/>
  <c r="W152" i="16"/>
  <c r="V152" i="16"/>
  <c r="U152" i="16"/>
  <c r="S151" i="16"/>
  <c r="T151" i="16" s="1"/>
  <c r="U151" i="16" s="1"/>
  <c r="V151" i="16" s="1"/>
  <c r="W151" i="16" s="1"/>
  <c r="X151" i="16" s="1"/>
  <c r="E35" i="17"/>
  <c r="F35" i="17" s="1"/>
  <c r="G35" i="17" s="1"/>
  <c r="H35" i="17" s="1"/>
  <c r="I35" i="17" s="1"/>
  <c r="J35" i="17" s="1"/>
  <c r="K35" i="17" s="1"/>
  <c r="L35" i="17" s="1"/>
  <c r="M35" i="17" s="1"/>
  <c r="N35" i="17" s="1"/>
  <c r="O35" i="17" s="1"/>
  <c r="P35" i="17" s="1"/>
  <c r="Q35" i="17" s="1"/>
  <c r="R35" i="17" s="1"/>
  <c r="F24" i="17"/>
  <c r="E24" i="17"/>
  <c r="D24" i="17"/>
  <c r="R19" i="17"/>
  <c r="G19" i="17"/>
  <c r="G24" i="17" s="1"/>
  <c r="F19" i="17"/>
  <c r="E19" i="17"/>
  <c r="D20" i="17"/>
  <c r="E20" i="17" s="1"/>
  <c r="F20" i="17" s="1"/>
  <c r="G20" i="17" s="1"/>
  <c r="H20" i="17" s="1"/>
  <c r="I20" i="17" s="1"/>
  <c r="J20" i="17" s="1"/>
  <c r="K20" i="17" s="1"/>
  <c r="L20" i="17" s="1"/>
  <c r="M20" i="17" s="1"/>
  <c r="N20" i="17" s="1"/>
  <c r="O20" i="17" s="1"/>
  <c r="P20" i="17" s="1"/>
  <c r="Q20" i="17" s="1"/>
  <c r="R20" i="17" s="1"/>
  <c r="E203" i="11"/>
  <c r="G203" i="11"/>
  <c r="H203" i="11"/>
  <c r="J203" i="11"/>
  <c r="K203" i="11"/>
  <c r="L203" i="11"/>
  <c r="M203" i="11"/>
  <c r="N203" i="11"/>
  <c r="O203" i="11"/>
  <c r="P203" i="11"/>
  <c r="Q203" i="11"/>
  <c r="R203" i="11"/>
  <c r="S203" i="11"/>
  <c r="T203" i="11"/>
  <c r="U203" i="11"/>
  <c r="C204" i="11"/>
  <c r="V177" i="11"/>
  <c r="V178" i="11"/>
  <c r="V179" i="11"/>
  <c r="V180" i="11"/>
  <c r="V181" i="11"/>
  <c r="V182" i="11"/>
  <c r="V183" i="11"/>
  <c r="V184" i="11"/>
  <c r="V185" i="11"/>
  <c r="V186" i="11"/>
  <c r="V187" i="11"/>
  <c r="V188" i="11"/>
  <c r="V189" i="11"/>
  <c r="V190" i="11"/>
  <c r="V191" i="11"/>
  <c r="V192" i="11"/>
  <c r="V193" i="11"/>
  <c r="V194" i="11"/>
  <c r="V195" i="11"/>
  <c r="V196" i="11"/>
  <c r="V197" i="11"/>
  <c r="V198" i="11"/>
  <c r="V199" i="11"/>
  <c r="V176" i="11"/>
  <c r="F199" i="11"/>
  <c r="B199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F176" i="11"/>
  <c r="F177" i="11"/>
  <c r="F178" i="11"/>
  <c r="F179" i="11"/>
  <c r="F180" i="11"/>
  <c r="F181" i="11"/>
  <c r="F182" i="11"/>
  <c r="F183" i="11"/>
  <c r="F184" i="11"/>
  <c r="F185" i="11"/>
  <c r="F186" i="11"/>
  <c r="F187" i="11"/>
  <c r="F188" i="11"/>
  <c r="F189" i="11"/>
  <c r="F190" i="11"/>
  <c r="F191" i="11"/>
  <c r="F192" i="11"/>
  <c r="F193" i="11"/>
  <c r="F194" i="11"/>
  <c r="F195" i="11"/>
  <c r="F196" i="11"/>
  <c r="F197" i="11"/>
  <c r="F198" i="11"/>
  <c r="B176" i="11"/>
  <c r="G105" i="11"/>
  <c r="H105" i="11"/>
  <c r="U105" i="11"/>
  <c r="E107" i="11"/>
  <c r="E108" i="11"/>
  <c r="E109" i="11"/>
  <c r="E110" i="11"/>
  <c r="E111" i="11"/>
  <c r="D112" i="11"/>
  <c r="E113" i="11"/>
  <c r="E114" i="11"/>
  <c r="E115" i="11"/>
  <c r="E116" i="11"/>
  <c r="E117" i="11"/>
  <c r="D118" i="11"/>
  <c r="E119" i="11"/>
  <c r="E120" i="11"/>
  <c r="E121" i="11"/>
  <c r="E122" i="11"/>
  <c r="E123" i="11"/>
  <c r="E124" i="11"/>
  <c r="D125" i="11"/>
  <c r="D126" i="11"/>
  <c r="D127" i="11"/>
  <c r="E128" i="11"/>
  <c r="E129" i="11"/>
  <c r="E130" i="11"/>
  <c r="E131" i="11"/>
  <c r="E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E106" i="11"/>
  <c r="I98" i="11"/>
  <c r="F96" i="11"/>
  <c r="C26" i="11"/>
  <c r="D98" i="11"/>
  <c r="D204" i="11" s="1"/>
  <c r="B100" i="11"/>
  <c r="B206" i="11" s="1"/>
  <c r="V100" i="11"/>
  <c r="V99" i="11"/>
  <c r="V98" i="11"/>
  <c r="E97" i="11"/>
  <c r="G97" i="11"/>
  <c r="H97" i="11"/>
  <c r="J97" i="11"/>
  <c r="K97" i="11"/>
  <c r="L97" i="11"/>
  <c r="M97" i="11"/>
  <c r="N97" i="11"/>
  <c r="O97" i="11"/>
  <c r="P97" i="11"/>
  <c r="Q97" i="11"/>
  <c r="R97" i="11"/>
  <c r="S97" i="11"/>
  <c r="T97" i="11"/>
  <c r="U97" i="11"/>
  <c r="C100" i="11"/>
  <c r="C206" i="11" s="1"/>
  <c r="I206" i="11" s="1"/>
  <c r="F206" i="11" s="1"/>
  <c r="C99" i="11"/>
  <c r="D99" i="11" s="1"/>
  <c r="D205" i="11" s="1"/>
  <c r="B99" i="11"/>
  <c r="B205" i="11" s="1"/>
  <c r="B98" i="11"/>
  <c r="B204" i="11" s="1"/>
  <c r="V85" i="11"/>
  <c r="V165" i="11" s="1"/>
  <c r="V86" i="11"/>
  <c r="V166" i="11" s="1"/>
  <c r="V87" i="11"/>
  <c r="V167" i="11" s="1"/>
  <c r="V88" i="11"/>
  <c r="V168" i="11" s="1"/>
  <c r="V89" i="11"/>
  <c r="V169" i="11" s="1"/>
  <c r="V90" i="11"/>
  <c r="V170" i="11" s="1"/>
  <c r="V91" i="11"/>
  <c r="V171" i="11" s="1"/>
  <c r="V92" i="11"/>
  <c r="V172" i="11" s="1"/>
  <c r="V93" i="11"/>
  <c r="V173" i="11" s="1"/>
  <c r="V94" i="11"/>
  <c r="V174" i="11" s="1"/>
  <c r="V95" i="11"/>
  <c r="V175" i="11" s="1"/>
  <c r="V55" i="11"/>
  <c r="V135" i="11" s="1"/>
  <c r="V56" i="11"/>
  <c r="V136" i="11" s="1"/>
  <c r="V57" i="11"/>
  <c r="V137" i="11" s="1"/>
  <c r="V58" i="11"/>
  <c r="V138" i="11" s="1"/>
  <c r="V59" i="11"/>
  <c r="V139" i="11" s="1"/>
  <c r="V60" i="11"/>
  <c r="V140" i="11" s="1"/>
  <c r="V61" i="11"/>
  <c r="V141" i="11" s="1"/>
  <c r="V62" i="11"/>
  <c r="V142" i="11" s="1"/>
  <c r="V63" i="11"/>
  <c r="V143" i="11" s="1"/>
  <c r="V64" i="11"/>
  <c r="V144" i="11" s="1"/>
  <c r="V65" i="11"/>
  <c r="V145" i="11" s="1"/>
  <c r="V66" i="11"/>
  <c r="V146" i="11" s="1"/>
  <c r="V67" i="11"/>
  <c r="V147" i="11" s="1"/>
  <c r="V68" i="11"/>
  <c r="V148" i="11" s="1"/>
  <c r="V69" i="11"/>
  <c r="V149" i="11" s="1"/>
  <c r="V70" i="11"/>
  <c r="V150" i="11" s="1"/>
  <c r="V71" i="11"/>
  <c r="V151" i="11" s="1"/>
  <c r="V72" i="11"/>
  <c r="V152" i="11" s="1"/>
  <c r="V73" i="11"/>
  <c r="V153" i="11" s="1"/>
  <c r="V74" i="11"/>
  <c r="V154" i="11" s="1"/>
  <c r="V75" i="11"/>
  <c r="V155" i="11" s="1"/>
  <c r="V76" i="11"/>
  <c r="V156" i="11" s="1"/>
  <c r="V77" i="11"/>
  <c r="V157" i="11" s="1"/>
  <c r="V78" i="11"/>
  <c r="V158" i="11" s="1"/>
  <c r="V79" i="11"/>
  <c r="V159" i="11" s="1"/>
  <c r="V80" i="11"/>
  <c r="V160" i="11" s="1"/>
  <c r="V81" i="11"/>
  <c r="V161" i="11" s="1"/>
  <c r="V82" i="11"/>
  <c r="V162" i="11" s="1"/>
  <c r="V83" i="11"/>
  <c r="V163" i="11" s="1"/>
  <c r="V84" i="11"/>
  <c r="V164" i="11" s="1"/>
  <c r="V54" i="11"/>
  <c r="V134" i="11" s="1"/>
  <c r="V50" i="11"/>
  <c r="V130" i="11" s="1"/>
  <c r="V51" i="11"/>
  <c r="V131" i="11" s="1"/>
  <c r="V52" i="11"/>
  <c r="V132" i="11" s="1"/>
  <c r="V53" i="11"/>
  <c r="V133" i="11" s="1"/>
  <c r="V45" i="11"/>
  <c r="V125" i="11" s="1"/>
  <c r="V46" i="11"/>
  <c r="V126" i="11" s="1"/>
  <c r="V47" i="11"/>
  <c r="V127" i="11" s="1"/>
  <c r="V48" i="11"/>
  <c r="V128" i="11" s="1"/>
  <c r="V49" i="11"/>
  <c r="V129" i="11" s="1"/>
  <c r="V38" i="11"/>
  <c r="V118" i="11" s="1"/>
  <c r="V39" i="11"/>
  <c r="V119" i="11" s="1"/>
  <c r="V40" i="11"/>
  <c r="V120" i="11" s="1"/>
  <c r="V41" i="11"/>
  <c r="V121" i="11" s="1"/>
  <c r="V42" i="11"/>
  <c r="V122" i="11" s="1"/>
  <c r="V43" i="11"/>
  <c r="V123" i="11" s="1"/>
  <c r="V44" i="11"/>
  <c r="V124" i="11" s="1"/>
  <c r="V27" i="11"/>
  <c r="V107" i="11" s="1"/>
  <c r="V28" i="11"/>
  <c r="V108" i="11" s="1"/>
  <c r="V29" i="11"/>
  <c r="V109" i="11" s="1"/>
  <c r="V30" i="11"/>
  <c r="V110" i="11" s="1"/>
  <c r="V31" i="11"/>
  <c r="V111" i="11" s="1"/>
  <c r="V32" i="11"/>
  <c r="V112" i="11" s="1"/>
  <c r="V33" i="11"/>
  <c r="V113" i="11" s="1"/>
  <c r="V34" i="11"/>
  <c r="V114" i="11" s="1"/>
  <c r="V35" i="11"/>
  <c r="V115" i="11" s="1"/>
  <c r="V36" i="11"/>
  <c r="V116" i="11" s="1"/>
  <c r="V37" i="11"/>
  <c r="V117" i="11" s="1"/>
  <c r="V26" i="11"/>
  <c r="V106" i="11" s="1"/>
  <c r="G25" i="11"/>
  <c r="K25" i="11"/>
  <c r="L25" i="11"/>
  <c r="M25" i="11"/>
  <c r="N25" i="11"/>
  <c r="O25" i="11"/>
  <c r="P25" i="11"/>
  <c r="Q25" i="11"/>
  <c r="R25" i="11"/>
  <c r="S25" i="11"/>
  <c r="T25" i="11"/>
  <c r="U25" i="11"/>
  <c r="C55" i="11"/>
  <c r="E55" i="11" s="1"/>
  <c r="E135" i="11" s="1"/>
  <c r="C56" i="11"/>
  <c r="E56" i="11" s="1"/>
  <c r="E136" i="11" s="1"/>
  <c r="C57" i="11"/>
  <c r="E57" i="11" s="1"/>
  <c r="E137" i="11" s="1"/>
  <c r="C58" i="11"/>
  <c r="E58" i="11" s="1"/>
  <c r="E138" i="11" s="1"/>
  <c r="C59" i="11"/>
  <c r="E59" i="11" s="1"/>
  <c r="E139" i="11" s="1"/>
  <c r="C60" i="11"/>
  <c r="E60" i="11" s="1"/>
  <c r="E140" i="11" s="1"/>
  <c r="C61" i="11"/>
  <c r="E61" i="11" s="1"/>
  <c r="E141" i="11" s="1"/>
  <c r="C62" i="11"/>
  <c r="E62" i="11" s="1"/>
  <c r="E142" i="11" s="1"/>
  <c r="C63" i="11"/>
  <c r="E63" i="11" s="1"/>
  <c r="E143" i="11" s="1"/>
  <c r="C64" i="11"/>
  <c r="E64" i="11" s="1"/>
  <c r="E144" i="11" s="1"/>
  <c r="C65" i="11"/>
  <c r="E65" i="11" s="1"/>
  <c r="E145" i="11" s="1"/>
  <c r="C66" i="11"/>
  <c r="E66" i="11" s="1"/>
  <c r="E146" i="11" s="1"/>
  <c r="C67" i="11"/>
  <c r="E67" i="11" s="1"/>
  <c r="E147" i="11" s="1"/>
  <c r="C68" i="11"/>
  <c r="E68" i="11" s="1"/>
  <c r="E148" i="11" s="1"/>
  <c r="C69" i="11"/>
  <c r="E69" i="11" s="1"/>
  <c r="E149" i="11" s="1"/>
  <c r="C70" i="11"/>
  <c r="E70" i="11" s="1"/>
  <c r="E150" i="11" s="1"/>
  <c r="C71" i="11"/>
  <c r="E71" i="11" s="1"/>
  <c r="E151" i="11" s="1"/>
  <c r="C72" i="11"/>
  <c r="E72" i="11" s="1"/>
  <c r="E152" i="11" s="1"/>
  <c r="C73" i="11"/>
  <c r="E73" i="11" s="1"/>
  <c r="E153" i="11" s="1"/>
  <c r="C74" i="11"/>
  <c r="E74" i="11" s="1"/>
  <c r="E154" i="11" s="1"/>
  <c r="C75" i="11"/>
  <c r="E75" i="11" s="1"/>
  <c r="E155" i="11" s="1"/>
  <c r="C76" i="11"/>
  <c r="E76" i="11" s="1"/>
  <c r="E156" i="11" s="1"/>
  <c r="C77" i="11"/>
  <c r="C78" i="11"/>
  <c r="C79" i="11"/>
  <c r="E79" i="11" s="1"/>
  <c r="E159" i="11" s="1"/>
  <c r="C80" i="11"/>
  <c r="E80" i="11" s="1"/>
  <c r="E160" i="11" s="1"/>
  <c r="C81" i="11"/>
  <c r="E81" i="11" s="1"/>
  <c r="E161" i="11" s="1"/>
  <c r="C82" i="11"/>
  <c r="E82" i="11" s="1"/>
  <c r="E162" i="11" s="1"/>
  <c r="C83" i="11"/>
  <c r="E83" i="11" s="1"/>
  <c r="E163" i="11" s="1"/>
  <c r="C84" i="11"/>
  <c r="E84" i="11" s="1"/>
  <c r="E164" i="11" s="1"/>
  <c r="C85" i="11"/>
  <c r="E85" i="11" s="1"/>
  <c r="E165" i="11" s="1"/>
  <c r="C86" i="11"/>
  <c r="E86" i="11" s="1"/>
  <c r="E166" i="11" s="1"/>
  <c r="C87" i="11"/>
  <c r="E87" i="11" s="1"/>
  <c r="E167" i="11" s="1"/>
  <c r="C88" i="11"/>
  <c r="E88" i="11" s="1"/>
  <c r="E168" i="11" s="1"/>
  <c r="C89" i="11"/>
  <c r="E89" i="11" s="1"/>
  <c r="E169" i="11" s="1"/>
  <c r="C90" i="11"/>
  <c r="E90" i="11" s="1"/>
  <c r="E170" i="11" s="1"/>
  <c r="C91" i="11"/>
  <c r="E91" i="11" s="1"/>
  <c r="E171" i="11" s="1"/>
  <c r="C92" i="11"/>
  <c r="E92" i="11" s="1"/>
  <c r="E172" i="11" s="1"/>
  <c r="C93" i="11"/>
  <c r="E93" i="11" s="1"/>
  <c r="E173" i="11" s="1"/>
  <c r="C94" i="11"/>
  <c r="E94" i="11" s="1"/>
  <c r="E174" i="11" s="1"/>
  <c r="C95" i="11"/>
  <c r="E95" i="11" s="1"/>
  <c r="E175" i="11" s="1"/>
  <c r="C54" i="11"/>
  <c r="C27" i="11"/>
  <c r="D27" i="11" s="1"/>
  <c r="D107" i="11" s="1"/>
  <c r="C28" i="11"/>
  <c r="D28" i="11" s="1"/>
  <c r="D108" i="11" s="1"/>
  <c r="C29" i="11"/>
  <c r="D29" i="11" s="1"/>
  <c r="D109" i="11" s="1"/>
  <c r="C30" i="11"/>
  <c r="D30" i="11" s="1"/>
  <c r="D110" i="11" s="1"/>
  <c r="C31" i="11"/>
  <c r="D31" i="11" s="1"/>
  <c r="D111" i="11" s="1"/>
  <c r="C32" i="11"/>
  <c r="E32" i="11" s="1"/>
  <c r="E112" i="11" s="1"/>
  <c r="C33" i="11"/>
  <c r="C34" i="11"/>
  <c r="D34" i="11" s="1"/>
  <c r="D114" i="11" s="1"/>
  <c r="C35" i="11"/>
  <c r="D35" i="11" s="1"/>
  <c r="D115" i="11" s="1"/>
  <c r="C36" i="11"/>
  <c r="D36" i="11" s="1"/>
  <c r="D116" i="11" s="1"/>
  <c r="C37" i="11"/>
  <c r="D37" i="11" s="1"/>
  <c r="D117" i="11" s="1"/>
  <c r="C38" i="11"/>
  <c r="E38" i="11" s="1"/>
  <c r="E118" i="11" s="1"/>
  <c r="C39" i="11"/>
  <c r="C40" i="11"/>
  <c r="D40" i="11" s="1"/>
  <c r="D120" i="11" s="1"/>
  <c r="C41" i="11"/>
  <c r="D41" i="11" s="1"/>
  <c r="D121" i="11" s="1"/>
  <c r="C42" i="11"/>
  <c r="D42" i="11" s="1"/>
  <c r="D122" i="11" s="1"/>
  <c r="C43" i="11"/>
  <c r="H43" i="11" s="1"/>
  <c r="F43" i="11" s="1"/>
  <c r="C44" i="11"/>
  <c r="D44" i="11" s="1"/>
  <c r="D124" i="11" s="1"/>
  <c r="C45" i="11"/>
  <c r="E45" i="11" s="1"/>
  <c r="E125" i="11" s="1"/>
  <c r="C46" i="11"/>
  <c r="E46" i="11" s="1"/>
  <c r="E126" i="11" s="1"/>
  <c r="C47" i="11"/>
  <c r="E47" i="11" s="1"/>
  <c r="E127" i="11" s="1"/>
  <c r="C48" i="11"/>
  <c r="C49" i="11"/>
  <c r="D49" i="11" s="1"/>
  <c r="D129" i="11" s="1"/>
  <c r="C50" i="11"/>
  <c r="D50" i="11" s="1"/>
  <c r="D130" i="11" s="1"/>
  <c r="C51" i="11"/>
  <c r="D51" i="11" s="1"/>
  <c r="D131" i="11" s="1"/>
  <c r="C52" i="11"/>
  <c r="D52" i="11" s="1"/>
  <c r="D132" i="11" s="1"/>
  <c r="C53" i="11"/>
  <c r="E53" i="11" s="1"/>
  <c r="E133" i="11" s="1"/>
  <c r="B55" i="11"/>
  <c r="B135" i="11" s="1"/>
  <c r="B56" i="11"/>
  <c r="B136" i="11" s="1"/>
  <c r="B57" i="11"/>
  <c r="B137" i="11" s="1"/>
  <c r="B58" i="11"/>
  <c r="B138" i="11" s="1"/>
  <c r="B59" i="11"/>
  <c r="B139" i="11" s="1"/>
  <c r="B60" i="11"/>
  <c r="B140" i="11" s="1"/>
  <c r="B61" i="11"/>
  <c r="B141" i="11" s="1"/>
  <c r="B62" i="11"/>
  <c r="B142" i="11" s="1"/>
  <c r="B63" i="11"/>
  <c r="B143" i="11" s="1"/>
  <c r="B64" i="11"/>
  <c r="B144" i="11" s="1"/>
  <c r="B65" i="11"/>
  <c r="B145" i="11" s="1"/>
  <c r="B66" i="11"/>
  <c r="B146" i="11" s="1"/>
  <c r="B67" i="11"/>
  <c r="B147" i="11" s="1"/>
  <c r="B68" i="11"/>
  <c r="B148" i="11" s="1"/>
  <c r="B69" i="11"/>
  <c r="B149" i="11" s="1"/>
  <c r="B70" i="11"/>
  <c r="B150" i="11" s="1"/>
  <c r="B71" i="11"/>
  <c r="B151" i="11" s="1"/>
  <c r="B72" i="11"/>
  <c r="B152" i="11" s="1"/>
  <c r="B73" i="11"/>
  <c r="B153" i="11" s="1"/>
  <c r="B74" i="11"/>
  <c r="B154" i="11" s="1"/>
  <c r="B75" i="11"/>
  <c r="B155" i="11" s="1"/>
  <c r="B76" i="11"/>
  <c r="B156" i="11" s="1"/>
  <c r="B77" i="11"/>
  <c r="B157" i="11" s="1"/>
  <c r="B78" i="11"/>
  <c r="B158" i="11" s="1"/>
  <c r="B79" i="11"/>
  <c r="B159" i="11" s="1"/>
  <c r="B80" i="11"/>
  <c r="B160" i="11" s="1"/>
  <c r="B81" i="11"/>
  <c r="B161" i="11" s="1"/>
  <c r="B82" i="11"/>
  <c r="B162" i="11" s="1"/>
  <c r="B83" i="11"/>
  <c r="B163" i="11" s="1"/>
  <c r="B84" i="11"/>
  <c r="B164" i="11" s="1"/>
  <c r="B85" i="11"/>
  <c r="B165" i="11" s="1"/>
  <c r="B86" i="11"/>
  <c r="B166" i="11" s="1"/>
  <c r="B87" i="11"/>
  <c r="B167" i="11" s="1"/>
  <c r="B88" i="11"/>
  <c r="B168" i="11" s="1"/>
  <c r="B89" i="11"/>
  <c r="B169" i="11" s="1"/>
  <c r="B90" i="11"/>
  <c r="B170" i="11" s="1"/>
  <c r="B91" i="11"/>
  <c r="B171" i="11" s="1"/>
  <c r="B92" i="11"/>
  <c r="B172" i="11" s="1"/>
  <c r="B93" i="11"/>
  <c r="B173" i="11" s="1"/>
  <c r="B94" i="11"/>
  <c r="B174" i="11" s="1"/>
  <c r="B95" i="11"/>
  <c r="B175" i="11" s="1"/>
  <c r="B54" i="11"/>
  <c r="B134" i="11" s="1"/>
  <c r="B27" i="11"/>
  <c r="B107" i="11" s="1"/>
  <c r="B28" i="11"/>
  <c r="B108" i="11" s="1"/>
  <c r="B29" i="11"/>
  <c r="B109" i="11" s="1"/>
  <c r="B30" i="11"/>
  <c r="B110" i="11" s="1"/>
  <c r="B31" i="11"/>
  <c r="B111" i="11" s="1"/>
  <c r="B32" i="11"/>
  <c r="B112" i="11" s="1"/>
  <c r="B33" i="11"/>
  <c r="B113" i="11" s="1"/>
  <c r="B34" i="11"/>
  <c r="B114" i="11" s="1"/>
  <c r="B35" i="11"/>
  <c r="B115" i="11" s="1"/>
  <c r="B36" i="11"/>
  <c r="B116" i="11" s="1"/>
  <c r="B37" i="11"/>
  <c r="B117" i="11" s="1"/>
  <c r="B38" i="11"/>
  <c r="B118" i="11" s="1"/>
  <c r="B39" i="11"/>
  <c r="B119" i="11" s="1"/>
  <c r="B40" i="11"/>
  <c r="B120" i="11" s="1"/>
  <c r="B41" i="11"/>
  <c r="B121" i="11" s="1"/>
  <c r="B42" i="11"/>
  <c r="B122" i="11" s="1"/>
  <c r="B43" i="11"/>
  <c r="B123" i="11" s="1"/>
  <c r="B44" i="11"/>
  <c r="B124" i="11" s="1"/>
  <c r="B45" i="11"/>
  <c r="B125" i="11" s="1"/>
  <c r="B46" i="11"/>
  <c r="B126" i="11" s="1"/>
  <c r="B47" i="11"/>
  <c r="B127" i="11" s="1"/>
  <c r="B48" i="11"/>
  <c r="B128" i="11" s="1"/>
  <c r="B49" i="11"/>
  <c r="B129" i="11" s="1"/>
  <c r="B50" i="11"/>
  <c r="B130" i="11" s="1"/>
  <c r="B51" i="11"/>
  <c r="B131" i="11" s="1"/>
  <c r="B52" i="11"/>
  <c r="B132" i="11" s="1"/>
  <c r="B53" i="11"/>
  <c r="B133" i="11" s="1"/>
  <c r="B26" i="11"/>
  <c r="B106" i="11" s="1"/>
  <c r="AD23" i="19"/>
  <c r="AD21" i="19"/>
  <c r="AF19" i="19"/>
  <c r="AD19" i="19"/>
  <c r="H20" i="9" s="1"/>
  <c r="AB22" i="19"/>
  <c r="AB20" i="19"/>
  <c r="AB18" i="19"/>
  <c r="AE17" i="19"/>
  <c r="AD17" i="19"/>
  <c r="H18" i="9" s="1"/>
  <c r="AB16" i="19"/>
  <c r="F17" i="9" s="1"/>
  <c r="BB26" i="19"/>
  <c r="AP26" i="19"/>
  <c r="BD27" i="19"/>
  <c r="BD26" i="19"/>
  <c r="BC25" i="19"/>
  <c r="BD24" i="19"/>
  <c r="BE24" i="19"/>
  <c r="BF24" i="19"/>
  <c r="BG24" i="19"/>
  <c r="BH24" i="19"/>
  <c r="BI24" i="19"/>
  <c r="BJ24" i="19"/>
  <c r="BC24" i="19"/>
  <c r="AR24" i="19"/>
  <c r="AS24" i="19"/>
  <c r="AT24" i="19"/>
  <c r="AU24" i="19"/>
  <c r="AV24" i="19"/>
  <c r="AW24" i="19"/>
  <c r="AX24" i="19"/>
  <c r="AR27" i="19"/>
  <c r="AR26" i="19"/>
  <c r="AQ25" i="19"/>
  <c r="AQ24" i="19"/>
  <c r="D95" i="20"/>
  <c r="E95" i="20"/>
  <c r="F95" i="20"/>
  <c r="H95" i="20"/>
  <c r="I95" i="20"/>
  <c r="D96" i="20"/>
  <c r="E96" i="20"/>
  <c r="F96" i="20"/>
  <c r="H96" i="20"/>
  <c r="I96" i="20"/>
  <c r="D97" i="20"/>
  <c r="E97" i="20"/>
  <c r="F97" i="20"/>
  <c r="H97" i="20"/>
  <c r="I97" i="20"/>
  <c r="D98" i="20"/>
  <c r="E98" i="20"/>
  <c r="F98" i="20"/>
  <c r="H98" i="20"/>
  <c r="I98" i="20"/>
  <c r="D99" i="20"/>
  <c r="E99" i="20"/>
  <c r="F99" i="20"/>
  <c r="H99" i="20"/>
  <c r="I99" i="20"/>
  <c r="D100" i="20"/>
  <c r="E100" i="20"/>
  <c r="F100" i="20"/>
  <c r="H100" i="20"/>
  <c r="I100" i="20"/>
  <c r="D101" i="20"/>
  <c r="E101" i="20"/>
  <c r="F101" i="20"/>
  <c r="H101" i="20"/>
  <c r="I101" i="20"/>
  <c r="D102" i="20"/>
  <c r="E102" i="20"/>
  <c r="F102" i="20"/>
  <c r="H102" i="20"/>
  <c r="D103" i="20"/>
  <c r="E103" i="20"/>
  <c r="F103" i="20"/>
  <c r="H103" i="20"/>
  <c r="D104" i="20"/>
  <c r="E104" i="20"/>
  <c r="F104" i="20"/>
  <c r="H104" i="20"/>
  <c r="I104" i="20"/>
  <c r="D105" i="20"/>
  <c r="E105" i="20"/>
  <c r="F105" i="20"/>
  <c r="H105" i="20"/>
  <c r="I105" i="20"/>
  <c r="D106" i="20"/>
  <c r="E106" i="20"/>
  <c r="F106" i="20"/>
  <c r="H106" i="20"/>
  <c r="D107" i="20"/>
  <c r="E107" i="20"/>
  <c r="F107" i="20"/>
  <c r="H107" i="20"/>
  <c r="D108" i="20"/>
  <c r="E108" i="20"/>
  <c r="F108" i="20"/>
  <c r="H108" i="20"/>
  <c r="I108" i="20"/>
  <c r="D109" i="20"/>
  <c r="E109" i="20"/>
  <c r="F109" i="20"/>
  <c r="H109" i="20"/>
  <c r="I109" i="20"/>
  <c r="D110" i="20"/>
  <c r="E110" i="20"/>
  <c r="F110" i="20"/>
  <c r="H110" i="20"/>
  <c r="I110" i="20"/>
  <c r="D111" i="20"/>
  <c r="E111" i="20"/>
  <c r="F111" i="20"/>
  <c r="H111" i="20"/>
  <c r="I111" i="20"/>
  <c r="D112" i="20"/>
  <c r="E112" i="20"/>
  <c r="F112" i="20"/>
  <c r="H112" i="20"/>
  <c r="I112" i="20"/>
  <c r="D113" i="20"/>
  <c r="E113" i="20"/>
  <c r="F113" i="20"/>
  <c r="H113" i="20"/>
  <c r="I113" i="20"/>
  <c r="D114" i="20"/>
  <c r="E114" i="20"/>
  <c r="F114" i="20"/>
  <c r="H114" i="20"/>
  <c r="I114" i="20"/>
  <c r="D115" i="20"/>
  <c r="E115" i="20"/>
  <c r="F115" i="20"/>
  <c r="H115" i="20"/>
  <c r="D116" i="20"/>
  <c r="E116" i="20"/>
  <c r="G116" i="20" s="1"/>
  <c r="F116" i="20"/>
  <c r="H116" i="20"/>
  <c r="I116" i="20"/>
  <c r="D117" i="20"/>
  <c r="E117" i="20"/>
  <c r="F117" i="20"/>
  <c r="H117" i="20"/>
  <c r="D118" i="20"/>
  <c r="E118" i="20"/>
  <c r="F118" i="20"/>
  <c r="H118" i="20"/>
  <c r="I118" i="20"/>
  <c r="D119" i="20"/>
  <c r="E119" i="20"/>
  <c r="F119" i="20"/>
  <c r="H119" i="20"/>
  <c r="J119" i="20" s="1"/>
  <c r="I119" i="20"/>
  <c r="D120" i="20"/>
  <c r="E120" i="20"/>
  <c r="F120" i="20"/>
  <c r="H120" i="20"/>
  <c r="D121" i="20"/>
  <c r="E121" i="20"/>
  <c r="F121" i="20"/>
  <c r="H121" i="20"/>
  <c r="D122" i="20"/>
  <c r="E122" i="20"/>
  <c r="F122" i="20"/>
  <c r="H122" i="20"/>
  <c r="I122" i="20"/>
  <c r="D123" i="20"/>
  <c r="E123" i="20"/>
  <c r="F123" i="20"/>
  <c r="H123" i="20"/>
  <c r="I123" i="20"/>
  <c r="D124" i="20"/>
  <c r="E124" i="20"/>
  <c r="F124" i="20"/>
  <c r="H124" i="20"/>
  <c r="D125" i="20"/>
  <c r="E125" i="20"/>
  <c r="F125" i="20"/>
  <c r="H125" i="20"/>
  <c r="D126" i="20"/>
  <c r="E126" i="20"/>
  <c r="F126" i="20"/>
  <c r="H126" i="20"/>
  <c r="I126" i="20"/>
  <c r="D127" i="20"/>
  <c r="E127" i="20"/>
  <c r="F127" i="20"/>
  <c r="H127" i="20"/>
  <c r="J127" i="20" s="1"/>
  <c r="I127" i="20"/>
  <c r="D128" i="20"/>
  <c r="E128" i="20"/>
  <c r="F128" i="20"/>
  <c r="H128" i="20"/>
  <c r="D129" i="20"/>
  <c r="E129" i="20"/>
  <c r="F129" i="20"/>
  <c r="H129" i="20"/>
  <c r="D130" i="20"/>
  <c r="E130" i="20"/>
  <c r="F130" i="20"/>
  <c r="H130" i="20"/>
  <c r="D131" i="20"/>
  <c r="E131" i="20"/>
  <c r="F131" i="20"/>
  <c r="H131" i="20"/>
  <c r="D132" i="20"/>
  <c r="E132" i="20"/>
  <c r="F132" i="20"/>
  <c r="H132" i="20"/>
  <c r="I132" i="20"/>
  <c r="D133" i="20"/>
  <c r="E133" i="20"/>
  <c r="G133" i="20" s="1"/>
  <c r="F133" i="20"/>
  <c r="H133" i="20"/>
  <c r="I133" i="20"/>
  <c r="D134" i="20"/>
  <c r="E134" i="20"/>
  <c r="F134" i="20"/>
  <c r="H134" i="20"/>
  <c r="I134" i="20"/>
  <c r="D135" i="20"/>
  <c r="E135" i="20"/>
  <c r="F135" i="20"/>
  <c r="H135" i="20"/>
  <c r="I94" i="20"/>
  <c r="H94" i="20"/>
  <c r="F94" i="20"/>
  <c r="E94" i="20"/>
  <c r="D94" i="20"/>
  <c r="BB27" i="19"/>
  <c r="BB25" i="19"/>
  <c r="BB24" i="19"/>
  <c r="AP27" i="19"/>
  <c r="AP25" i="19"/>
  <c r="AP24" i="19"/>
  <c r="G70" i="20"/>
  <c r="H70" i="20" s="1"/>
  <c r="G69" i="20"/>
  <c r="H69" i="20" s="1"/>
  <c r="G68" i="20"/>
  <c r="H68" i="20" s="1"/>
  <c r="G67" i="20"/>
  <c r="H67" i="20" s="1"/>
  <c r="G66" i="20"/>
  <c r="H66" i="20" s="1"/>
  <c r="G65" i="20"/>
  <c r="H65" i="20" s="1"/>
  <c r="G64" i="20"/>
  <c r="H64" i="20" s="1"/>
  <c r="G63" i="20"/>
  <c r="H63" i="20" s="1"/>
  <c r="G62" i="20"/>
  <c r="H62" i="20" s="1"/>
  <c r="G61" i="20"/>
  <c r="H61" i="20" s="1"/>
  <c r="G60" i="20"/>
  <c r="H60" i="20" s="1"/>
  <c r="G59" i="20"/>
  <c r="H59" i="20" s="1"/>
  <c r="G58" i="20"/>
  <c r="H58" i="20" s="1"/>
  <c r="G57" i="20"/>
  <c r="H57" i="20" s="1"/>
  <c r="G56" i="20"/>
  <c r="H56" i="20" s="1"/>
  <c r="G55" i="20"/>
  <c r="H55" i="20" s="1"/>
  <c r="G54" i="20"/>
  <c r="H54" i="20" s="1"/>
  <c r="G53" i="20"/>
  <c r="H53" i="20" s="1"/>
  <c r="G52" i="20"/>
  <c r="H52" i="20" s="1"/>
  <c r="G51" i="20"/>
  <c r="H51" i="20" s="1"/>
  <c r="G50" i="20"/>
  <c r="H50" i="20" s="1"/>
  <c r="G49" i="20"/>
  <c r="H49" i="20" s="1"/>
  <c r="G48" i="20"/>
  <c r="H48" i="20" s="1"/>
  <c r="G47" i="20"/>
  <c r="H47" i="20" s="1"/>
  <c r="G46" i="20"/>
  <c r="H46" i="20" s="1"/>
  <c r="G45" i="20"/>
  <c r="H45" i="20" s="1"/>
  <c r="G44" i="20"/>
  <c r="H44" i="20" s="1"/>
  <c r="Y43" i="20"/>
  <c r="Z43" i="20" s="1"/>
  <c r="G43" i="20"/>
  <c r="H43" i="20" s="1"/>
  <c r="Y42" i="20"/>
  <c r="Z42" i="20" s="1"/>
  <c r="G42" i="20"/>
  <c r="H42" i="20" s="1"/>
  <c r="Y41" i="20"/>
  <c r="Z41" i="20" s="1"/>
  <c r="G41" i="20"/>
  <c r="H41" i="20" s="1"/>
  <c r="Y40" i="20"/>
  <c r="Z40" i="20" s="1"/>
  <c r="G40" i="20"/>
  <c r="H40" i="20" s="1"/>
  <c r="Y39" i="20"/>
  <c r="Z39" i="20" s="1"/>
  <c r="G39" i="20"/>
  <c r="H39" i="20" s="1"/>
  <c r="Y38" i="20"/>
  <c r="Z38" i="20" s="1"/>
  <c r="G38" i="20"/>
  <c r="H38" i="20" s="1"/>
  <c r="Y37" i="20"/>
  <c r="Z37" i="20" s="1"/>
  <c r="G37" i="20"/>
  <c r="H37" i="20" s="1"/>
  <c r="Y36" i="20"/>
  <c r="Z36" i="20" s="1"/>
  <c r="G36" i="20"/>
  <c r="H36" i="20" s="1"/>
  <c r="Y35" i="20"/>
  <c r="Z35" i="20" s="1"/>
  <c r="G35" i="20"/>
  <c r="H35" i="20" s="1"/>
  <c r="Y34" i="20"/>
  <c r="Z34" i="20" s="1"/>
  <c r="G34" i="20"/>
  <c r="H34" i="20" s="1"/>
  <c r="Y33" i="20"/>
  <c r="Z33" i="20" s="1"/>
  <c r="G33" i="20"/>
  <c r="H33" i="20" s="1"/>
  <c r="Y32" i="20"/>
  <c r="Z32" i="20" s="1"/>
  <c r="G32" i="20"/>
  <c r="H32" i="20" s="1"/>
  <c r="Y31" i="20"/>
  <c r="Z31" i="20" s="1"/>
  <c r="G31" i="20"/>
  <c r="H31" i="20" s="1"/>
  <c r="Y30" i="20"/>
  <c r="Z30" i="20" s="1"/>
  <c r="G30" i="20"/>
  <c r="H30" i="20" s="1"/>
  <c r="Y29" i="20"/>
  <c r="Z29" i="20" s="1"/>
  <c r="G29" i="20"/>
  <c r="H29" i="20" s="1"/>
  <c r="Y28" i="20"/>
  <c r="Z28" i="20" s="1"/>
  <c r="G28" i="20"/>
  <c r="H28" i="20" s="1"/>
  <c r="Y27" i="20"/>
  <c r="Z27" i="20" s="1"/>
  <c r="G27" i="20"/>
  <c r="H27" i="20" s="1"/>
  <c r="Y26" i="20"/>
  <c r="Z26" i="20" s="1"/>
  <c r="G26" i="20"/>
  <c r="H26" i="20" s="1"/>
  <c r="Y25" i="20"/>
  <c r="Z25" i="20" s="1"/>
  <c r="G25" i="20"/>
  <c r="H25" i="20" s="1"/>
  <c r="Y24" i="20"/>
  <c r="Z24" i="20" s="1"/>
  <c r="G24" i="20"/>
  <c r="H24" i="20" s="1"/>
  <c r="Y23" i="20"/>
  <c r="Z23" i="20" s="1"/>
  <c r="G23" i="20"/>
  <c r="H23" i="20" s="1"/>
  <c r="Y22" i="20"/>
  <c r="Z22" i="20" s="1"/>
  <c r="G22" i="20"/>
  <c r="H22" i="20" s="1"/>
  <c r="Y21" i="20"/>
  <c r="Z21" i="20" s="1"/>
  <c r="G21" i="20"/>
  <c r="H21" i="20" s="1"/>
  <c r="Y20" i="20"/>
  <c r="Z20" i="20" s="1"/>
  <c r="G20" i="20"/>
  <c r="H20" i="20" s="1"/>
  <c r="Y19" i="20"/>
  <c r="Z19" i="20" s="1"/>
  <c r="G19" i="20"/>
  <c r="H19" i="20" s="1"/>
  <c r="Y18" i="20"/>
  <c r="Z18" i="20" s="1"/>
  <c r="G18" i="20"/>
  <c r="H18" i="20" s="1"/>
  <c r="Y17" i="20"/>
  <c r="Z17" i="20" s="1"/>
  <c r="G17" i="20"/>
  <c r="H17" i="20" s="1"/>
  <c r="Y16" i="20"/>
  <c r="Z16" i="20" s="1"/>
  <c r="G16" i="20"/>
  <c r="H16" i="20" s="1"/>
  <c r="Y15" i="20"/>
  <c r="Z15" i="20" s="1"/>
  <c r="G15" i="20"/>
  <c r="H15" i="20" s="1"/>
  <c r="Y14" i="20"/>
  <c r="Z14" i="20" s="1"/>
  <c r="G14" i="20"/>
  <c r="H14" i="20" s="1"/>
  <c r="Y13" i="20"/>
  <c r="Z13" i="20" s="1"/>
  <c r="G13" i="20"/>
  <c r="H13" i="20" s="1"/>
  <c r="Y12" i="20"/>
  <c r="Z12" i="20" s="1"/>
  <c r="G12" i="20"/>
  <c r="H12" i="20" s="1"/>
  <c r="Y11" i="20"/>
  <c r="Z11" i="20" s="1"/>
  <c r="P11" i="20"/>
  <c r="Q11" i="20" s="1"/>
  <c r="G11" i="20"/>
  <c r="H11" i="20" s="1"/>
  <c r="AH10" i="20"/>
  <c r="AI10" i="20" s="1"/>
  <c r="Y10" i="20"/>
  <c r="Z10" i="20" s="1"/>
  <c r="P10" i="20"/>
  <c r="Q10" i="20" s="1"/>
  <c r="G10" i="20"/>
  <c r="H10" i="20" s="1"/>
  <c r="AH9" i="20"/>
  <c r="AI9" i="20" s="1"/>
  <c r="Y9" i="20"/>
  <c r="Z9" i="20" s="1"/>
  <c r="P9" i="20"/>
  <c r="Q9" i="20" s="1"/>
  <c r="G9" i="20"/>
  <c r="H9" i="20" s="1"/>
  <c r="AH8" i="20"/>
  <c r="AI8" i="20" s="1"/>
  <c r="Y8" i="20"/>
  <c r="Z8" i="20" s="1"/>
  <c r="P8" i="20"/>
  <c r="Q8" i="20" s="1"/>
  <c r="G8" i="20"/>
  <c r="H8" i="20" s="1"/>
  <c r="AH7" i="20"/>
  <c r="AI7" i="20" s="1"/>
  <c r="Y7" i="20"/>
  <c r="Z7" i="20" s="1"/>
  <c r="P7" i="20"/>
  <c r="Q7" i="20" s="1"/>
  <c r="G7" i="20"/>
  <c r="H7" i="20" s="1"/>
  <c r="AH6" i="20"/>
  <c r="AI6" i="20" s="1"/>
  <c r="Y6" i="20"/>
  <c r="Z6" i="20" s="1"/>
  <c r="P6" i="20"/>
  <c r="Q6" i="20" s="1"/>
  <c r="G6" i="20"/>
  <c r="H6" i="20" s="1"/>
  <c r="AH5" i="20"/>
  <c r="AH11" i="20" s="1"/>
  <c r="Y5" i="20"/>
  <c r="P5" i="20"/>
  <c r="P12" i="20" s="1"/>
  <c r="G5" i="20"/>
  <c r="H5" i="20" s="1"/>
  <c r="AY24" i="19"/>
  <c r="AZ24" i="19"/>
  <c r="BA24" i="19"/>
  <c r="AY25" i="19"/>
  <c r="AY26" i="19"/>
  <c r="AY27" i="19"/>
  <c r="AN24" i="19"/>
  <c r="AO24" i="19"/>
  <c r="AM27" i="19"/>
  <c r="AM26" i="19"/>
  <c r="AM25" i="19"/>
  <c r="AM24" i="19"/>
  <c r="CA27" i="19"/>
  <c r="I38" i="9" s="1"/>
  <c r="BO27" i="19"/>
  <c r="AQ27" i="19" s="1"/>
  <c r="BO26" i="19"/>
  <c r="I31" i="9" s="1"/>
  <c r="CA26" i="19"/>
  <c r="I37" i="9" s="1"/>
  <c r="BX26" i="19"/>
  <c r="F37" i="9" s="1"/>
  <c r="CC26" i="19"/>
  <c r="BX27" i="19"/>
  <c r="AZ27" i="19" s="1"/>
  <c r="CC27" i="19"/>
  <c r="CB25" i="19"/>
  <c r="BX25" i="19"/>
  <c r="BL26" i="19"/>
  <c r="AN26" i="19" s="1"/>
  <c r="BQ26" i="19"/>
  <c r="BL27" i="19"/>
  <c r="AN27" i="19" s="1"/>
  <c r="BP25" i="19"/>
  <c r="J30" i="9" s="1"/>
  <c r="BL25" i="19"/>
  <c r="F30" i="9" s="1"/>
  <c r="S108" i="18"/>
  <c r="T108" i="18"/>
  <c r="U108" i="18"/>
  <c r="V108" i="18"/>
  <c r="W108" i="18"/>
  <c r="X108" i="18"/>
  <c r="AA108" i="18"/>
  <c r="AB108" i="18"/>
  <c r="AC108" i="18"/>
  <c r="AD108" i="18"/>
  <c r="AE108" i="18"/>
  <c r="AF108" i="18"/>
  <c r="AG108" i="18"/>
  <c r="AH108" i="18"/>
  <c r="AI108" i="18"/>
  <c r="AJ108" i="18"/>
  <c r="AK108" i="18"/>
  <c r="AL108" i="18"/>
  <c r="AN108" i="18"/>
  <c r="AO108" i="18"/>
  <c r="R108" i="18"/>
  <c r="AM65" i="18"/>
  <c r="AM66" i="18"/>
  <c r="AM67" i="18"/>
  <c r="AM68" i="18"/>
  <c r="AM69" i="18"/>
  <c r="AM70" i="18"/>
  <c r="AM71" i="18"/>
  <c r="AM72" i="18"/>
  <c r="AM73" i="18"/>
  <c r="AM74" i="18"/>
  <c r="AM75" i="18"/>
  <c r="AM76" i="18"/>
  <c r="AM77" i="18"/>
  <c r="AM78" i="18"/>
  <c r="AM79" i="18"/>
  <c r="AM80" i="18"/>
  <c r="AM81" i="18"/>
  <c r="AM82" i="18"/>
  <c r="AM83" i="18"/>
  <c r="AM84" i="18"/>
  <c r="AM85" i="18"/>
  <c r="AM86" i="18"/>
  <c r="AM87" i="18"/>
  <c r="AM88" i="18"/>
  <c r="AM89" i="18"/>
  <c r="AM90" i="18"/>
  <c r="AM91" i="18"/>
  <c r="AM92" i="18"/>
  <c r="AM93" i="18"/>
  <c r="AM94" i="18"/>
  <c r="AM95" i="18"/>
  <c r="AM96" i="18"/>
  <c r="AM97" i="18"/>
  <c r="AM98" i="18"/>
  <c r="AM99" i="18"/>
  <c r="AM100" i="18"/>
  <c r="AM101" i="18"/>
  <c r="AM102" i="18"/>
  <c r="AM103" i="18"/>
  <c r="AM104" i="18"/>
  <c r="AM105" i="18"/>
  <c r="AM64" i="18"/>
  <c r="Z89" i="18"/>
  <c r="Z90" i="18"/>
  <c r="Z91" i="18"/>
  <c r="Z92" i="18"/>
  <c r="Z93" i="18"/>
  <c r="Z94" i="18"/>
  <c r="Z95" i="18"/>
  <c r="Z96" i="18"/>
  <c r="Z97" i="18"/>
  <c r="Z98" i="18"/>
  <c r="Z99" i="18"/>
  <c r="Z100" i="18"/>
  <c r="Z101" i="18"/>
  <c r="Z102" i="18"/>
  <c r="Z103" i="18"/>
  <c r="Z104" i="18"/>
  <c r="Z105" i="18"/>
  <c r="Z88" i="18"/>
  <c r="Y65" i="18"/>
  <c r="Y66" i="18"/>
  <c r="Y67" i="18"/>
  <c r="Y68" i="18"/>
  <c r="Y69" i="18"/>
  <c r="Y70" i="18"/>
  <c r="Y71" i="18"/>
  <c r="Y72" i="18"/>
  <c r="Y73" i="18"/>
  <c r="Y74" i="18"/>
  <c r="Y75" i="18"/>
  <c r="Y76" i="18"/>
  <c r="Y77" i="18"/>
  <c r="Y78" i="18"/>
  <c r="Y79" i="18"/>
  <c r="Y80" i="18"/>
  <c r="Y81" i="18"/>
  <c r="Y82" i="18"/>
  <c r="Y83" i="18"/>
  <c r="Y84" i="18"/>
  <c r="Y85" i="18"/>
  <c r="Y86" i="18"/>
  <c r="Y87" i="18"/>
  <c r="Y64" i="18"/>
  <c r="M105" i="18"/>
  <c r="I135" i="20" s="1"/>
  <c r="M101" i="18"/>
  <c r="I131" i="20" s="1"/>
  <c r="M100" i="18"/>
  <c r="I130" i="20" s="1"/>
  <c r="M99" i="18"/>
  <c r="I129" i="20" s="1"/>
  <c r="M98" i="18"/>
  <c r="I128" i="20" s="1"/>
  <c r="J128" i="20" s="1"/>
  <c r="M95" i="18"/>
  <c r="I125" i="20" s="1"/>
  <c r="M94" i="18"/>
  <c r="I124" i="20" s="1"/>
  <c r="M91" i="18"/>
  <c r="I121" i="20" s="1"/>
  <c r="M90" i="18"/>
  <c r="I120" i="20" s="1"/>
  <c r="J120" i="20" s="1"/>
  <c r="M87" i="18"/>
  <c r="I117" i="20" s="1"/>
  <c r="M85" i="18"/>
  <c r="I115" i="20" s="1"/>
  <c r="M77" i="18"/>
  <c r="I107" i="20" s="1"/>
  <c r="M76" i="18"/>
  <c r="I106" i="20" s="1"/>
  <c r="M73" i="18"/>
  <c r="I103" i="20" s="1"/>
  <c r="M72" i="18"/>
  <c r="I102" i="20" s="1"/>
  <c r="AZ26" i="19" l="1"/>
  <c r="BQ25" i="19"/>
  <c r="K30" i="9" s="1"/>
  <c r="BC27" i="19"/>
  <c r="J124" i="20"/>
  <c r="J94" i="20"/>
  <c r="G134" i="20"/>
  <c r="J132" i="20"/>
  <c r="G126" i="20"/>
  <c r="G113" i="20"/>
  <c r="J111" i="20"/>
  <c r="G109" i="20"/>
  <c r="G101" i="20"/>
  <c r="J99" i="20"/>
  <c r="G97" i="20"/>
  <c r="J95" i="20"/>
  <c r="K95" i="20" s="1"/>
  <c r="G105" i="20"/>
  <c r="G95" i="20"/>
  <c r="CD26" i="19"/>
  <c r="K37" i="9"/>
  <c r="AN25" i="19"/>
  <c r="BM25" i="19"/>
  <c r="BM27" i="19"/>
  <c r="F32" i="9"/>
  <c r="F27" i="9" s="1"/>
  <c r="E45" i="14" s="1"/>
  <c r="E47" i="14" s="1"/>
  <c r="E48" i="14" s="1"/>
  <c r="F28" i="9" s="1"/>
  <c r="CC25" i="19"/>
  <c r="J36" i="9"/>
  <c r="BY26" i="19"/>
  <c r="BQ27" i="19"/>
  <c r="I32" i="9"/>
  <c r="AR25" i="19"/>
  <c r="BD25" i="19"/>
  <c r="AQ26" i="19"/>
  <c r="AC16" i="19"/>
  <c r="G17" i="9" s="1"/>
  <c r="AC20" i="19"/>
  <c r="G21" i="9" s="1"/>
  <c r="F21" i="9"/>
  <c r="AE21" i="19"/>
  <c r="H22" i="9"/>
  <c r="BY25" i="19"/>
  <c r="F36" i="9"/>
  <c r="BR26" i="19"/>
  <c r="K31" i="9"/>
  <c r="CD27" i="19"/>
  <c r="K38" i="9"/>
  <c r="AZ25" i="19"/>
  <c r="G94" i="20"/>
  <c r="G130" i="20"/>
  <c r="G122" i="20"/>
  <c r="BE26" i="19"/>
  <c r="AC22" i="19"/>
  <c r="G23" i="9" s="1"/>
  <c r="F23" i="9"/>
  <c r="AE23" i="19"/>
  <c r="H24" i="9"/>
  <c r="R70" i="25"/>
  <c r="T70" i="25" s="1"/>
  <c r="Q71" i="25"/>
  <c r="AS25" i="19"/>
  <c r="AC18" i="19"/>
  <c r="G19" i="9" s="1"/>
  <c r="F19" i="9"/>
  <c r="AG19" i="19"/>
  <c r="J20" i="9"/>
  <c r="BR25" i="19"/>
  <c r="BM26" i="19"/>
  <c r="F31" i="9"/>
  <c r="BY27" i="19"/>
  <c r="F38" i="9"/>
  <c r="AS26" i="19"/>
  <c r="BE27" i="19"/>
  <c r="BC26" i="19"/>
  <c r="AF17" i="19"/>
  <c r="I18" i="9"/>
  <c r="C343" i="25"/>
  <c r="C359" i="23" s="1"/>
  <c r="C350" i="23"/>
  <c r="C351" i="23" s="1"/>
  <c r="S336" i="25"/>
  <c r="AF192" i="26"/>
  <c r="AE193" i="26"/>
  <c r="J49" i="26"/>
  <c r="K48" i="26"/>
  <c r="C49" i="26"/>
  <c r="D48" i="26"/>
  <c r="Y156" i="26"/>
  <c r="X157" i="26"/>
  <c r="Q73" i="26"/>
  <c r="R72" i="26"/>
  <c r="Y156" i="25"/>
  <c r="X157" i="25"/>
  <c r="C49" i="25"/>
  <c r="D48" i="25"/>
  <c r="J50" i="25"/>
  <c r="K49" i="25"/>
  <c r="M49" i="25" s="1"/>
  <c r="M48" i="25"/>
  <c r="AF192" i="25"/>
  <c r="AE193" i="25"/>
  <c r="AJ177" i="24"/>
  <c r="O178" i="24"/>
  <c r="AJ189" i="24" s="1"/>
  <c r="Y156" i="24"/>
  <c r="AA156" i="24" s="1"/>
  <c r="X157" i="24"/>
  <c r="AH191" i="24"/>
  <c r="J49" i="24"/>
  <c r="K48" i="24"/>
  <c r="C49" i="24"/>
  <c r="D48" i="24"/>
  <c r="F48" i="24" s="1"/>
  <c r="R60" i="24"/>
  <c r="Q61" i="24"/>
  <c r="AA155" i="24"/>
  <c r="AE193" i="24"/>
  <c r="AF192" i="24"/>
  <c r="T59" i="23"/>
  <c r="AE193" i="23"/>
  <c r="AF192" i="23"/>
  <c r="K48" i="23"/>
  <c r="J49" i="23"/>
  <c r="AH166" i="23"/>
  <c r="AI177" i="23"/>
  <c r="Y156" i="23"/>
  <c r="AA156" i="23" s="1"/>
  <c r="X157" i="23"/>
  <c r="AA154" i="23"/>
  <c r="AH178" i="23"/>
  <c r="AI189" i="23"/>
  <c r="D48" i="23"/>
  <c r="C49" i="23"/>
  <c r="Q61" i="23"/>
  <c r="R60" i="23"/>
  <c r="T60" i="23" s="1"/>
  <c r="AI165" i="23"/>
  <c r="AH154" i="23"/>
  <c r="J116" i="20"/>
  <c r="K116" i="20" s="1"/>
  <c r="D39" i="11"/>
  <c r="D119" i="11" s="1"/>
  <c r="C28" i="22"/>
  <c r="E77" i="11"/>
  <c r="E157" i="11" s="1"/>
  <c r="C27" i="22"/>
  <c r="J134" i="20"/>
  <c r="K134" i="20" s="1"/>
  <c r="G132" i="20"/>
  <c r="G129" i="20"/>
  <c r="G128" i="20"/>
  <c r="K128" i="20" s="1"/>
  <c r="J126" i="20"/>
  <c r="G121" i="20"/>
  <c r="G120" i="20"/>
  <c r="K120" i="20" s="1"/>
  <c r="J118" i="20"/>
  <c r="G114" i="20"/>
  <c r="J112" i="20"/>
  <c r="G110" i="20"/>
  <c r="J108" i="20"/>
  <c r="G104" i="20"/>
  <c r="G102" i="20"/>
  <c r="J100" i="20"/>
  <c r="G98" i="20"/>
  <c r="J96" i="20"/>
  <c r="D48" i="11"/>
  <c r="D128" i="11" s="1"/>
  <c r="C30" i="22"/>
  <c r="E78" i="11"/>
  <c r="E158" i="11" s="1"/>
  <c r="C29" i="22"/>
  <c r="D33" i="11"/>
  <c r="D113" i="11" s="1"/>
  <c r="C26" i="22"/>
  <c r="G125" i="20"/>
  <c r="G124" i="20"/>
  <c r="K124" i="20" s="1"/>
  <c r="J122" i="20"/>
  <c r="G118" i="20"/>
  <c r="G117" i="20"/>
  <c r="J114" i="20"/>
  <c r="K114" i="20" s="1"/>
  <c r="G112" i="20"/>
  <c r="K112" i="20" s="1"/>
  <c r="J110" i="20"/>
  <c r="K110" i="20" s="1"/>
  <c r="G108" i="20"/>
  <c r="G106" i="20"/>
  <c r="K106" i="20" s="1"/>
  <c r="J104" i="20"/>
  <c r="G100" i="20"/>
  <c r="J98" i="20"/>
  <c r="G96" i="20"/>
  <c r="E54" i="11"/>
  <c r="E134" i="11" s="1"/>
  <c r="C25" i="22"/>
  <c r="H26" i="11"/>
  <c r="F26" i="11" s="1"/>
  <c r="C24" i="22"/>
  <c r="D64" i="22" s="1"/>
  <c r="J123" i="20"/>
  <c r="I38" i="22"/>
  <c r="Z108" i="18"/>
  <c r="Y108" i="18"/>
  <c r="AM108" i="18"/>
  <c r="C205" i="11"/>
  <c r="I205" i="11" s="1"/>
  <c r="F205" i="11" s="1"/>
  <c r="I204" i="11"/>
  <c r="V4" i="16"/>
  <c r="U4" i="16"/>
  <c r="G29" i="17"/>
  <c r="J131" i="20"/>
  <c r="J103" i="20"/>
  <c r="J115" i="20"/>
  <c r="J107" i="20"/>
  <c r="J135" i="20"/>
  <c r="J130" i="20"/>
  <c r="K130" i="20" s="1"/>
  <c r="J106" i="20"/>
  <c r="J102" i="20"/>
  <c r="G135" i="20"/>
  <c r="J133" i="20"/>
  <c r="K133" i="20" s="1"/>
  <c r="G131" i="20"/>
  <c r="J129" i="20"/>
  <c r="G127" i="20"/>
  <c r="K127" i="20" s="1"/>
  <c r="J125" i="20"/>
  <c r="G123" i="20"/>
  <c r="K123" i="20" s="1"/>
  <c r="J121" i="20"/>
  <c r="G119" i="20"/>
  <c r="K119" i="20" s="1"/>
  <c r="J117" i="20"/>
  <c r="K117" i="20" s="1"/>
  <c r="L117" i="20" s="1"/>
  <c r="G115" i="20"/>
  <c r="J113" i="20"/>
  <c r="K113" i="20" s="1"/>
  <c r="G111" i="20"/>
  <c r="K111" i="20" s="1"/>
  <c r="J109" i="20"/>
  <c r="G107" i="20"/>
  <c r="J105" i="20"/>
  <c r="G103" i="20"/>
  <c r="J101" i="20"/>
  <c r="K101" i="20" s="1"/>
  <c r="G99" i="20"/>
  <c r="K99" i="20" s="1"/>
  <c r="J97" i="20"/>
  <c r="K97" i="20" s="1"/>
  <c r="K126" i="20"/>
  <c r="K122" i="20"/>
  <c r="C174" i="11"/>
  <c r="C170" i="11"/>
  <c r="K170" i="11" s="1"/>
  <c r="L170" i="11" s="1"/>
  <c r="M170" i="11" s="1"/>
  <c r="C166" i="11"/>
  <c r="K166" i="11" s="1"/>
  <c r="L166" i="11" s="1"/>
  <c r="M166" i="11" s="1"/>
  <c r="N166" i="11" s="1"/>
  <c r="O166" i="11" s="1"/>
  <c r="P166" i="11" s="1"/>
  <c r="Q166" i="11" s="1"/>
  <c r="R166" i="11" s="1"/>
  <c r="S166" i="11" s="1"/>
  <c r="T166" i="11" s="1"/>
  <c r="C162" i="11"/>
  <c r="K162" i="11" s="1"/>
  <c r="L162" i="11" s="1"/>
  <c r="M162" i="11" s="1"/>
  <c r="C158" i="11"/>
  <c r="K158" i="11" s="1"/>
  <c r="L158" i="11" s="1"/>
  <c r="M158" i="11" s="1"/>
  <c r="N158" i="11" s="1"/>
  <c r="O158" i="11" s="1"/>
  <c r="P158" i="11" s="1"/>
  <c r="Q158" i="11" s="1"/>
  <c r="R158" i="11" s="1"/>
  <c r="S158" i="11" s="1"/>
  <c r="T158" i="11" s="1"/>
  <c r="C154" i="11"/>
  <c r="J154" i="11" s="1"/>
  <c r="K154" i="11" s="1"/>
  <c r="L154" i="11" s="1"/>
  <c r="M154" i="11" s="1"/>
  <c r="N154" i="11" s="1"/>
  <c r="O154" i="11" s="1"/>
  <c r="P154" i="11" s="1"/>
  <c r="Q154" i="11" s="1"/>
  <c r="R154" i="11" s="1"/>
  <c r="S154" i="11" s="1"/>
  <c r="C150" i="11"/>
  <c r="J150" i="11" s="1"/>
  <c r="K150" i="11" s="1"/>
  <c r="L150" i="11" s="1"/>
  <c r="M150" i="11" s="1"/>
  <c r="N150" i="11" s="1"/>
  <c r="O150" i="11" s="1"/>
  <c r="P150" i="11" s="1"/>
  <c r="Q150" i="11" s="1"/>
  <c r="R150" i="11" s="1"/>
  <c r="S150" i="11" s="1"/>
  <c r="C146" i="11"/>
  <c r="J146" i="11" s="1"/>
  <c r="K146" i="11" s="1"/>
  <c r="L146" i="11" s="1"/>
  <c r="M146" i="11" s="1"/>
  <c r="N146" i="11" s="1"/>
  <c r="O146" i="11" s="1"/>
  <c r="P146" i="11" s="1"/>
  <c r="Q146" i="11" s="1"/>
  <c r="R146" i="11" s="1"/>
  <c r="S146" i="11" s="1"/>
  <c r="C142" i="11"/>
  <c r="J142" i="11" s="1"/>
  <c r="K142" i="11" s="1"/>
  <c r="L142" i="11" s="1"/>
  <c r="M142" i="11" s="1"/>
  <c r="N142" i="11" s="1"/>
  <c r="O142" i="11" s="1"/>
  <c r="P142" i="11" s="1"/>
  <c r="Q142" i="11" s="1"/>
  <c r="R142" i="11" s="1"/>
  <c r="S142" i="11" s="1"/>
  <c r="C138" i="11"/>
  <c r="J138" i="11" s="1"/>
  <c r="K138" i="11" s="1"/>
  <c r="L138" i="11" s="1"/>
  <c r="M138" i="11" s="1"/>
  <c r="N138" i="11" s="1"/>
  <c r="O138" i="11" s="1"/>
  <c r="P138" i="11" s="1"/>
  <c r="Q138" i="11" s="1"/>
  <c r="R138" i="11" s="1"/>
  <c r="S138" i="11" s="1"/>
  <c r="C134" i="11"/>
  <c r="J134" i="11" s="1"/>
  <c r="K134" i="11" s="1"/>
  <c r="L134" i="11" s="1"/>
  <c r="M134" i="11" s="1"/>
  <c r="N134" i="11" s="1"/>
  <c r="O134" i="11" s="1"/>
  <c r="P134" i="11" s="1"/>
  <c r="Q134" i="11" s="1"/>
  <c r="R134" i="11" s="1"/>
  <c r="S134" i="11" s="1"/>
  <c r="C130" i="11"/>
  <c r="I130" i="11" s="1"/>
  <c r="J130" i="11" s="1"/>
  <c r="K130" i="11" s="1"/>
  <c r="L130" i="11" s="1"/>
  <c r="M130" i="11" s="1"/>
  <c r="N130" i="11" s="1"/>
  <c r="O130" i="11" s="1"/>
  <c r="P130" i="11" s="1"/>
  <c r="Q130" i="11" s="1"/>
  <c r="R130" i="11" s="1"/>
  <c r="C126" i="11"/>
  <c r="I126" i="11" s="1"/>
  <c r="J126" i="11" s="1"/>
  <c r="K126" i="11" s="1"/>
  <c r="L126" i="11" s="1"/>
  <c r="M126" i="11" s="1"/>
  <c r="N126" i="11" s="1"/>
  <c r="O126" i="11" s="1"/>
  <c r="P126" i="11" s="1"/>
  <c r="Q126" i="11" s="1"/>
  <c r="R126" i="11" s="1"/>
  <c r="C122" i="11"/>
  <c r="I122" i="11" s="1"/>
  <c r="J122" i="11" s="1"/>
  <c r="K122" i="11" s="1"/>
  <c r="L122" i="11" s="1"/>
  <c r="M122" i="11" s="1"/>
  <c r="N122" i="11" s="1"/>
  <c r="O122" i="11" s="1"/>
  <c r="P122" i="11" s="1"/>
  <c r="Q122" i="11" s="1"/>
  <c r="R122" i="11" s="1"/>
  <c r="C118" i="11"/>
  <c r="C114" i="11"/>
  <c r="I114" i="11" s="1"/>
  <c r="J114" i="11" s="1"/>
  <c r="K114" i="11" s="1"/>
  <c r="L114" i="11" s="1"/>
  <c r="M114" i="11" s="1"/>
  <c r="N114" i="11" s="1"/>
  <c r="O114" i="11" s="1"/>
  <c r="P114" i="11" s="1"/>
  <c r="Q114" i="11" s="1"/>
  <c r="R114" i="11" s="1"/>
  <c r="C110" i="11"/>
  <c r="I110" i="11" s="1"/>
  <c r="J110" i="11" s="1"/>
  <c r="K110" i="11" s="1"/>
  <c r="L110" i="11" s="1"/>
  <c r="M110" i="11" s="1"/>
  <c r="N110" i="11" s="1"/>
  <c r="O110" i="11" s="1"/>
  <c r="P110" i="11" s="1"/>
  <c r="Q110" i="11" s="1"/>
  <c r="R110" i="11" s="1"/>
  <c r="C106" i="11"/>
  <c r="I106" i="11" s="1"/>
  <c r="C173" i="11"/>
  <c r="K173" i="11" s="1"/>
  <c r="L173" i="11" s="1"/>
  <c r="M173" i="11" s="1"/>
  <c r="N173" i="11" s="1"/>
  <c r="O173" i="11" s="1"/>
  <c r="P173" i="11" s="1"/>
  <c r="Q173" i="11" s="1"/>
  <c r="R173" i="11" s="1"/>
  <c r="S173" i="11" s="1"/>
  <c r="T173" i="11" s="1"/>
  <c r="C169" i="11"/>
  <c r="K169" i="11" s="1"/>
  <c r="L169" i="11" s="1"/>
  <c r="M169" i="11" s="1"/>
  <c r="N169" i="11" s="1"/>
  <c r="O169" i="11" s="1"/>
  <c r="P169" i="11" s="1"/>
  <c r="Q169" i="11" s="1"/>
  <c r="R169" i="11" s="1"/>
  <c r="S169" i="11" s="1"/>
  <c r="T169" i="11" s="1"/>
  <c r="C165" i="11"/>
  <c r="K165" i="11" s="1"/>
  <c r="L165" i="11" s="1"/>
  <c r="M165" i="11" s="1"/>
  <c r="N165" i="11" s="1"/>
  <c r="O165" i="11" s="1"/>
  <c r="P165" i="11" s="1"/>
  <c r="Q165" i="11" s="1"/>
  <c r="R165" i="11" s="1"/>
  <c r="S165" i="11" s="1"/>
  <c r="T165" i="11" s="1"/>
  <c r="C161" i="11"/>
  <c r="K161" i="11" s="1"/>
  <c r="L161" i="11" s="1"/>
  <c r="M161" i="11" s="1"/>
  <c r="N161" i="11" s="1"/>
  <c r="O161" i="11" s="1"/>
  <c r="P161" i="11" s="1"/>
  <c r="Q161" i="11" s="1"/>
  <c r="R161" i="11" s="1"/>
  <c r="S161" i="11" s="1"/>
  <c r="T161" i="11" s="1"/>
  <c r="C157" i="11"/>
  <c r="J157" i="11" s="1"/>
  <c r="K157" i="11" s="1"/>
  <c r="L157" i="11" s="1"/>
  <c r="M157" i="11" s="1"/>
  <c r="N157" i="11" s="1"/>
  <c r="O157" i="11" s="1"/>
  <c r="P157" i="11" s="1"/>
  <c r="Q157" i="11" s="1"/>
  <c r="R157" i="11" s="1"/>
  <c r="S157" i="11" s="1"/>
  <c r="C153" i="11"/>
  <c r="J153" i="11" s="1"/>
  <c r="K153" i="11" s="1"/>
  <c r="L153" i="11" s="1"/>
  <c r="M153" i="11" s="1"/>
  <c r="N153" i="11" s="1"/>
  <c r="O153" i="11" s="1"/>
  <c r="P153" i="11" s="1"/>
  <c r="Q153" i="11" s="1"/>
  <c r="R153" i="11" s="1"/>
  <c r="S153" i="11" s="1"/>
  <c r="C149" i="11"/>
  <c r="J149" i="11" s="1"/>
  <c r="K149" i="11" s="1"/>
  <c r="L149" i="11" s="1"/>
  <c r="M149" i="11" s="1"/>
  <c r="N149" i="11" s="1"/>
  <c r="O149" i="11" s="1"/>
  <c r="P149" i="11" s="1"/>
  <c r="Q149" i="11" s="1"/>
  <c r="R149" i="11" s="1"/>
  <c r="S149" i="11" s="1"/>
  <c r="C145" i="11"/>
  <c r="J145" i="11" s="1"/>
  <c r="K145" i="11" s="1"/>
  <c r="L145" i="11" s="1"/>
  <c r="M145" i="11" s="1"/>
  <c r="N145" i="11" s="1"/>
  <c r="O145" i="11" s="1"/>
  <c r="P145" i="11" s="1"/>
  <c r="Q145" i="11" s="1"/>
  <c r="R145" i="11" s="1"/>
  <c r="S145" i="11" s="1"/>
  <c r="C141" i="11"/>
  <c r="J141" i="11" s="1"/>
  <c r="K141" i="11" s="1"/>
  <c r="L141" i="11" s="1"/>
  <c r="M141" i="11" s="1"/>
  <c r="N141" i="11" s="1"/>
  <c r="O141" i="11" s="1"/>
  <c r="P141" i="11" s="1"/>
  <c r="Q141" i="11" s="1"/>
  <c r="R141" i="11" s="1"/>
  <c r="S141" i="11" s="1"/>
  <c r="C137" i="11"/>
  <c r="J137" i="11" s="1"/>
  <c r="K137" i="11" s="1"/>
  <c r="L137" i="11" s="1"/>
  <c r="M137" i="11" s="1"/>
  <c r="N137" i="11" s="1"/>
  <c r="O137" i="11" s="1"/>
  <c r="P137" i="11" s="1"/>
  <c r="Q137" i="11" s="1"/>
  <c r="R137" i="11" s="1"/>
  <c r="S137" i="11" s="1"/>
  <c r="C133" i="11"/>
  <c r="C129" i="11"/>
  <c r="I129" i="11" s="1"/>
  <c r="J129" i="11" s="1"/>
  <c r="K129" i="11" s="1"/>
  <c r="L129" i="11" s="1"/>
  <c r="M129" i="11" s="1"/>
  <c r="N129" i="11" s="1"/>
  <c r="O129" i="11" s="1"/>
  <c r="P129" i="11" s="1"/>
  <c r="Q129" i="11" s="1"/>
  <c r="R129" i="11" s="1"/>
  <c r="C125" i="11"/>
  <c r="C121" i="11"/>
  <c r="I121" i="11" s="1"/>
  <c r="J121" i="11" s="1"/>
  <c r="K121" i="11" s="1"/>
  <c r="L121" i="11" s="1"/>
  <c r="M121" i="11" s="1"/>
  <c r="N121" i="11" s="1"/>
  <c r="O121" i="11" s="1"/>
  <c r="P121" i="11" s="1"/>
  <c r="Q121" i="11" s="1"/>
  <c r="R121" i="11" s="1"/>
  <c r="C117" i="11"/>
  <c r="I117" i="11" s="1"/>
  <c r="J117" i="11" s="1"/>
  <c r="K117" i="11" s="1"/>
  <c r="L117" i="11" s="1"/>
  <c r="M117" i="11" s="1"/>
  <c r="N117" i="11" s="1"/>
  <c r="O117" i="11" s="1"/>
  <c r="P117" i="11" s="1"/>
  <c r="Q117" i="11" s="1"/>
  <c r="R117" i="11" s="1"/>
  <c r="C113" i="11"/>
  <c r="I113" i="11" s="1"/>
  <c r="J113" i="11" s="1"/>
  <c r="K113" i="11" s="1"/>
  <c r="L113" i="11" s="1"/>
  <c r="M113" i="11" s="1"/>
  <c r="N113" i="11" s="1"/>
  <c r="O113" i="11" s="1"/>
  <c r="P113" i="11" s="1"/>
  <c r="Q113" i="11" s="1"/>
  <c r="R113" i="11" s="1"/>
  <c r="C109" i="11"/>
  <c r="I109" i="11" s="1"/>
  <c r="J109" i="11" s="1"/>
  <c r="K109" i="11" s="1"/>
  <c r="L109" i="11" s="1"/>
  <c r="M109" i="11" s="1"/>
  <c r="N109" i="11" s="1"/>
  <c r="O109" i="11" s="1"/>
  <c r="P109" i="11" s="1"/>
  <c r="Q109" i="11" s="1"/>
  <c r="R109" i="11" s="1"/>
  <c r="C172" i="11"/>
  <c r="K172" i="11" s="1"/>
  <c r="L172" i="11" s="1"/>
  <c r="M172" i="11" s="1"/>
  <c r="N172" i="11" s="1"/>
  <c r="O172" i="11" s="1"/>
  <c r="P172" i="11" s="1"/>
  <c r="Q172" i="11" s="1"/>
  <c r="R172" i="11" s="1"/>
  <c r="S172" i="11" s="1"/>
  <c r="T172" i="11" s="1"/>
  <c r="C168" i="11"/>
  <c r="K168" i="11" s="1"/>
  <c r="L168" i="11" s="1"/>
  <c r="M168" i="11" s="1"/>
  <c r="N168" i="11" s="1"/>
  <c r="O168" i="11" s="1"/>
  <c r="P168" i="11" s="1"/>
  <c r="Q168" i="11" s="1"/>
  <c r="R168" i="11" s="1"/>
  <c r="S168" i="11" s="1"/>
  <c r="T168" i="11" s="1"/>
  <c r="C164" i="11"/>
  <c r="K164" i="11" s="1"/>
  <c r="L164" i="11" s="1"/>
  <c r="M164" i="11" s="1"/>
  <c r="N164" i="11" s="1"/>
  <c r="O164" i="11" s="1"/>
  <c r="P164" i="11" s="1"/>
  <c r="Q164" i="11" s="1"/>
  <c r="R164" i="11" s="1"/>
  <c r="S164" i="11" s="1"/>
  <c r="T164" i="11" s="1"/>
  <c r="C160" i="11"/>
  <c r="K160" i="11" s="1"/>
  <c r="L160" i="11" s="1"/>
  <c r="M160" i="11" s="1"/>
  <c r="N160" i="11" s="1"/>
  <c r="O160" i="11" s="1"/>
  <c r="P160" i="11" s="1"/>
  <c r="Q160" i="11" s="1"/>
  <c r="R160" i="11" s="1"/>
  <c r="S160" i="11" s="1"/>
  <c r="T160" i="11" s="1"/>
  <c r="C156" i="11"/>
  <c r="J156" i="11" s="1"/>
  <c r="K156" i="11" s="1"/>
  <c r="L156" i="11" s="1"/>
  <c r="M156" i="11" s="1"/>
  <c r="N156" i="11" s="1"/>
  <c r="O156" i="11" s="1"/>
  <c r="P156" i="11" s="1"/>
  <c r="Q156" i="11" s="1"/>
  <c r="R156" i="11" s="1"/>
  <c r="S156" i="11" s="1"/>
  <c r="C152" i="11"/>
  <c r="J152" i="11" s="1"/>
  <c r="K152" i="11" s="1"/>
  <c r="L152" i="11" s="1"/>
  <c r="M152" i="11" s="1"/>
  <c r="N152" i="11" s="1"/>
  <c r="O152" i="11" s="1"/>
  <c r="P152" i="11" s="1"/>
  <c r="Q152" i="11" s="1"/>
  <c r="R152" i="11" s="1"/>
  <c r="S152" i="11" s="1"/>
  <c r="C148" i="11"/>
  <c r="J148" i="11" s="1"/>
  <c r="K148" i="11" s="1"/>
  <c r="L148" i="11" s="1"/>
  <c r="M148" i="11" s="1"/>
  <c r="N148" i="11" s="1"/>
  <c r="O148" i="11" s="1"/>
  <c r="P148" i="11" s="1"/>
  <c r="Q148" i="11" s="1"/>
  <c r="R148" i="11" s="1"/>
  <c r="S148" i="11" s="1"/>
  <c r="C144" i="11"/>
  <c r="J144" i="11" s="1"/>
  <c r="K144" i="11" s="1"/>
  <c r="L144" i="11" s="1"/>
  <c r="M144" i="11" s="1"/>
  <c r="N144" i="11" s="1"/>
  <c r="O144" i="11" s="1"/>
  <c r="P144" i="11" s="1"/>
  <c r="Q144" i="11" s="1"/>
  <c r="R144" i="11" s="1"/>
  <c r="S144" i="11" s="1"/>
  <c r="F144" i="11" s="1"/>
  <c r="C140" i="11"/>
  <c r="J140" i="11" s="1"/>
  <c r="K140" i="11" s="1"/>
  <c r="L140" i="11" s="1"/>
  <c r="M140" i="11" s="1"/>
  <c r="N140" i="11" s="1"/>
  <c r="O140" i="11" s="1"/>
  <c r="P140" i="11" s="1"/>
  <c r="Q140" i="11" s="1"/>
  <c r="R140" i="11" s="1"/>
  <c r="S140" i="11" s="1"/>
  <c r="C136" i="11"/>
  <c r="J136" i="11" s="1"/>
  <c r="K136" i="11" s="1"/>
  <c r="L136" i="11" s="1"/>
  <c r="M136" i="11" s="1"/>
  <c r="N136" i="11" s="1"/>
  <c r="O136" i="11" s="1"/>
  <c r="P136" i="11" s="1"/>
  <c r="Q136" i="11" s="1"/>
  <c r="R136" i="11" s="1"/>
  <c r="S136" i="11" s="1"/>
  <c r="C132" i="11"/>
  <c r="I132" i="11" s="1"/>
  <c r="J132" i="11" s="1"/>
  <c r="K132" i="11" s="1"/>
  <c r="L132" i="11" s="1"/>
  <c r="M132" i="11" s="1"/>
  <c r="N132" i="11" s="1"/>
  <c r="O132" i="11" s="1"/>
  <c r="P132" i="11" s="1"/>
  <c r="Q132" i="11" s="1"/>
  <c r="R132" i="11" s="1"/>
  <c r="C128" i="11"/>
  <c r="I128" i="11" s="1"/>
  <c r="J128" i="11" s="1"/>
  <c r="K128" i="11" s="1"/>
  <c r="L128" i="11" s="1"/>
  <c r="M128" i="11" s="1"/>
  <c r="N128" i="11" s="1"/>
  <c r="O128" i="11" s="1"/>
  <c r="P128" i="11" s="1"/>
  <c r="Q128" i="11" s="1"/>
  <c r="R128" i="11" s="1"/>
  <c r="C124" i="11"/>
  <c r="I124" i="11" s="1"/>
  <c r="J124" i="11" s="1"/>
  <c r="K124" i="11" s="1"/>
  <c r="L124" i="11" s="1"/>
  <c r="M124" i="11" s="1"/>
  <c r="N124" i="11" s="1"/>
  <c r="O124" i="11" s="1"/>
  <c r="P124" i="11" s="1"/>
  <c r="Q124" i="11" s="1"/>
  <c r="R124" i="11" s="1"/>
  <c r="C120" i="11"/>
  <c r="I120" i="11" s="1"/>
  <c r="J120" i="11" s="1"/>
  <c r="K120" i="11" s="1"/>
  <c r="L120" i="11" s="1"/>
  <c r="M120" i="11" s="1"/>
  <c r="N120" i="11" s="1"/>
  <c r="O120" i="11" s="1"/>
  <c r="P120" i="11" s="1"/>
  <c r="Q120" i="11" s="1"/>
  <c r="R120" i="11" s="1"/>
  <c r="C116" i="11"/>
  <c r="I116" i="11" s="1"/>
  <c r="J116" i="11" s="1"/>
  <c r="K116" i="11" s="1"/>
  <c r="L116" i="11" s="1"/>
  <c r="M116" i="11" s="1"/>
  <c r="N116" i="11" s="1"/>
  <c r="O116" i="11" s="1"/>
  <c r="P116" i="11" s="1"/>
  <c r="Q116" i="11" s="1"/>
  <c r="R116" i="11" s="1"/>
  <c r="C112" i="11"/>
  <c r="I112" i="11" s="1"/>
  <c r="C108" i="11"/>
  <c r="I108" i="11" s="1"/>
  <c r="J108" i="11" s="1"/>
  <c r="K108" i="11" s="1"/>
  <c r="L108" i="11" s="1"/>
  <c r="M108" i="11" s="1"/>
  <c r="N108" i="11" s="1"/>
  <c r="O108" i="11" s="1"/>
  <c r="P108" i="11" s="1"/>
  <c r="Q108" i="11" s="1"/>
  <c r="R108" i="11" s="1"/>
  <c r="C175" i="11"/>
  <c r="K175" i="11" s="1"/>
  <c r="L175" i="11" s="1"/>
  <c r="M175" i="11" s="1"/>
  <c r="N175" i="11" s="1"/>
  <c r="O175" i="11" s="1"/>
  <c r="P175" i="11" s="1"/>
  <c r="Q175" i="11" s="1"/>
  <c r="R175" i="11" s="1"/>
  <c r="S175" i="11" s="1"/>
  <c r="T175" i="11" s="1"/>
  <c r="C171" i="11"/>
  <c r="K171" i="11" s="1"/>
  <c r="L171" i="11" s="1"/>
  <c r="M171" i="11" s="1"/>
  <c r="N171" i="11" s="1"/>
  <c r="O171" i="11" s="1"/>
  <c r="P171" i="11" s="1"/>
  <c r="Q171" i="11" s="1"/>
  <c r="R171" i="11" s="1"/>
  <c r="S171" i="11" s="1"/>
  <c r="T171" i="11" s="1"/>
  <c r="C167" i="11"/>
  <c r="K167" i="11" s="1"/>
  <c r="L167" i="11" s="1"/>
  <c r="M167" i="11" s="1"/>
  <c r="N167" i="11" s="1"/>
  <c r="O167" i="11" s="1"/>
  <c r="P167" i="11" s="1"/>
  <c r="Q167" i="11" s="1"/>
  <c r="R167" i="11" s="1"/>
  <c r="S167" i="11" s="1"/>
  <c r="T167" i="11" s="1"/>
  <c r="C163" i="11"/>
  <c r="K163" i="11" s="1"/>
  <c r="L163" i="11" s="1"/>
  <c r="M163" i="11" s="1"/>
  <c r="N163" i="11" s="1"/>
  <c r="O163" i="11" s="1"/>
  <c r="P163" i="11" s="1"/>
  <c r="Q163" i="11" s="1"/>
  <c r="R163" i="11" s="1"/>
  <c r="S163" i="11" s="1"/>
  <c r="T163" i="11" s="1"/>
  <c r="C159" i="11"/>
  <c r="K159" i="11" s="1"/>
  <c r="L159" i="11" s="1"/>
  <c r="M159" i="11" s="1"/>
  <c r="N159" i="11" s="1"/>
  <c r="O159" i="11" s="1"/>
  <c r="P159" i="11" s="1"/>
  <c r="Q159" i="11" s="1"/>
  <c r="R159" i="11" s="1"/>
  <c r="S159" i="11" s="1"/>
  <c r="T159" i="11" s="1"/>
  <c r="C155" i="11"/>
  <c r="J155" i="11" s="1"/>
  <c r="K155" i="11" s="1"/>
  <c r="L155" i="11" s="1"/>
  <c r="M155" i="11" s="1"/>
  <c r="N155" i="11" s="1"/>
  <c r="O155" i="11" s="1"/>
  <c r="P155" i="11" s="1"/>
  <c r="Q155" i="11" s="1"/>
  <c r="R155" i="11" s="1"/>
  <c r="S155" i="11" s="1"/>
  <c r="C151" i="11"/>
  <c r="J151" i="11" s="1"/>
  <c r="K151" i="11" s="1"/>
  <c r="L151" i="11" s="1"/>
  <c r="M151" i="11" s="1"/>
  <c r="N151" i="11" s="1"/>
  <c r="O151" i="11" s="1"/>
  <c r="P151" i="11" s="1"/>
  <c r="Q151" i="11" s="1"/>
  <c r="R151" i="11" s="1"/>
  <c r="S151" i="11" s="1"/>
  <c r="C147" i="11"/>
  <c r="J147" i="11" s="1"/>
  <c r="K147" i="11" s="1"/>
  <c r="L147" i="11" s="1"/>
  <c r="C143" i="11"/>
  <c r="J143" i="11" s="1"/>
  <c r="K143" i="11" s="1"/>
  <c r="L143" i="11" s="1"/>
  <c r="M143" i="11" s="1"/>
  <c r="N143" i="11" s="1"/>
  <c r="O143" i="11" s="1"/>
  <c r="P143" i="11" s="1"/>
  <c r="Q143" i="11" s="1"/>
  <c r="R143" i="11" s="1"/>
  <c r="S143" i="11" s="1"/>
  <c r="C139" i="11"/>
  <c r="J139" i="11" s="1"/>
  <c r="K139" i="11" s="1"/>
  <c r="L139" i="11" s="1"/>
  <c r="M139" i="11" s="1"/>
  <c r="N139" i="11" s="1"/>
  <c r="O139" i="11" s="1"/>
  <c r="P139" i="11" s="1"/>
  <c r="Q139" i="11" s="1"/>
  <c r="R139" i="11" s="1"/>
  <c r="S139" i="11" s="1"/>
  <c r="C135" i="11"/>
  <c r="J135" i="11" s="1"/>
  <c r="K135" i="11" s="1"/>
  <c r="L135" i="11" s="1"/>
  <c r="M135" i="11" s="1"/>
  <c r="N135" i="11" s="1"/>
  <c r="O135" i="11" s="1"/>
  <c r="P135" i="11" s="1"/>
  <c r="Q135" i="11" s="1"/>
  <c r="R135" i="11" s="1"/>
  <c r="S135" i="11" s="1"/>
  <c r="C131" i="11"/>
  <c r="I131" i="11" s="1"/>
  <c r="C127" i="11"/>
  <c r="I127" i="11" s="1"/>
  <c r="J127" i="11" s="1"/>
  <c r="K127" i="11" s="1"/>
  <c r="L127" i="11" s="1"/>
  <c r="M127" i="11" s="1"/>
  <c r="N127" i="11" s="1"/>
  <c r="O127" i="11" s="1"/>
  <c r="P127" i="11" s="1"/>
  <c r="Q127" i="11" s="1"/>
  <c r="R127" i="11" s="1"/>
  <c r="C123" i="11"/>
  <c r="I123" i="11" s="1"/>
  <c r="J123" i="11" s="1"/>
  <c r="K123" i="11" s="1"/>
  <c r="L123" i="11" s="1"/>
  <c r="M123" i="11" s="1"/>
  <c r="N123" i="11" s="1"/>
  <c r="O123" i="11" s="1"/>
  <c r="P123" i="11" s="1"/>
  <c r="Q123" i="11" s="1"/>
  <c r="R123" i="11" s="1"/>
  <c r="C119" i="11"/>
  <c r="I119" i="11" s="1"/>
  <c r="J119" i="11" s="1"/>
  <c r="K119" i="11" s="1"/>
  <c r="L119" i="11" s="1"/>
  <c r="M119" i="11" s="1"/>
  <c r="N119" i="11" s="1"/>
  <c r="O119" i="11" s="1"/>
  <c r="P119" i="11" s="1"/>
  <c r="Q119" i="11" s="1"/>
  <c r="R119" i="11" s="1"/>
  <c r="C115" i="11"/>
  <c r="I115" i="11" s="1"/>
  <c r="J115" i="11" s="1"/>
  <c r="K115" i="11" s="1"/>
  <c r="L115" i="11" s="1"/>
  <c r="M115" i="11" s="1"/>
  <c r="N115" i="11" s="1"/>
  <c r="O115" i="11" s="1"/>
  <c r="P115" i="11" s="1"/>
  <c r="Q115" i="11" s="1"/>
  <c r="R115" i="11" s="1"/>
  <c r="C111" i="11"/>
  <c r="I111" i="11" s="1"/>
  <c r="J111" i="11" s="1"/>
  <c r="K111" i="11" s="1"/>
  <c r="L111" i="11" s="1"/>
  <c r="M111" i="11" s="1"/>
  <c r="N111" i="11" s="1"/>
  <c r="O111" i="11" s="1"/>
  <c r="P111" i="11" s="1"/>
  <c r="Q111" i="11" s="1"/>
  <c r="R111" i="11" s="1"/>
  <c r="C107" i="11"/>
  <c r="I107" i="11" s="1"/>
  <c r="J107" i="11" s="1"/>
  <c r="K107" i="11" s="1"/>
  <c r="L107" i="11" s="1"/>
  <c r="M107" i="11" s="1"/>
  <c r="N107" i="11" s="1"/>
  <c r="O107" i="11" s="1"/>
  <c r="P107" i="11" s="1"/>
  <c r="Q107" i="11" s="1"/>
  <c r="R107" i="11" s="1"/>
  <c r="N170" i="11"/>
  <c r="O170" i="11" s="1"/>
  <c r="P170" i="11" s="1"/>
  <c r="Q170" i="11" s="1"/>
  <c r="R170" i="11" s="1"/>
  <c r="S170" i="11" s="1"/>
  <c r="T170" i="11" s="1"/>
  <c r="N162" i="11"/>
  <c r="O162" i="11" s="1"/>
  <c r="P162" i="11" s="1"/>
  <c r="Q162" i="11" s="1"/>
  <c r="R162" i="11" s="1"/>
  <c r="S162" i="11" s="1"/>
  <c r="T162" i="11" s="1"/>
  <c r="C97" i="11"/>
  <c r="C25" i="11"/>
  <c r="I100" i="11"/>
  <c r="F100" i="11" s="1"/>
  <c r="I99" i="11"/>
  <c r="F99" i="11" s="1"/>
  <c r="J78" i="11"/>
  <c r="F78" i="11" s="1"/>
  <c r="F98" i="11"/>
  <c r="D43" i="11"/>
  <c r="D123" i="11" s="1"/>
  <c r="D100" i="11"/>
  <c r="D206" i="11" s="1"/>
  <c r="D203" i="11" s="1"/>
  <c r="H33" i="11"/>
  <c r="F33" i="11" s="1"/>
  <c r="H29" i="11"/>
  <c r="F29" i="11" s="1"/>
  <c r="H52" i="11"/>
  <c r="F52" i="11" s="1"/>
  <c r="H48" i="11"/>
  <c r="F48" i="11" s="1"/>
  <c r="H45" i="11"/>
  <c r="F45" i="11" s="1"/>
  <c r="H41" i="11"/>
  <c r="F41" i="11" s="1"/>
  <c r="H37" i="11"/>
  <c r="F37" i="11" s="1"/>
  <c r="I62" i="11"/>
  <c r="F62" i="11" s="1"/>
  <c r="I58" i="11"/>
  <c r="F58" i="11" s="1"/>
  <c r="I74" i="11"/>
  <c r="F74" i="11" s="1"/>
  <c r="I70" i="11"/>
  <c r="F70" i="11" s="1"/>
  <c r="I66" i="11"/>
  <c r="F66" i="11" s="1"/>
  <c r="J95" i="11"/>
  <c r="F95" i="11" s="1"/>
  <c r="J91" i="11"/>
  <c r="F91" i="11" s="1"/>
  <c r="J87" i="11"/>
  <c r="F87" i="11" s="1"/>
  <c r="J83" i="11"/>
  <c r="F83" i="11" s="1"/>
  <c r="H34" i="11"/>
  <c r="F34" i="11" s="1"/>
  <c r="H30" i="11"/>
  <c r="F30" i="11" s="1"/>
  <c r="H53" i="11"/>
  <c r="F53" i="11" s="1"/>
  <c r="H49" i="11"/>
  <c r="F49" i="11" s="1"/>
  <c r="H46" i="11"/>
  <c r="F46" i="11" s="1"/>
  <c r="H42" i="11"/>
  <c r="F42" i="11" s="1"/>
  <c r="H38" i="11"/>
  <c r="F38" i="11" s="1"/>
  <c r="I63" i="11"/>
  <c r="F63" i="11" s="1"/>
  <c r="I59" i="11"/>
  <c r="F59" i="11" s="1"/>
  <c r="I55" i="11"/>
  <c r="F55" i="11" s="1"/>
  <c r="I75" i="11"/>
  <c r="F75" i="11" s="1"/>
  <c r="I71" i="11"/>
  <c r="F71" i="11" s="1"/>
  <c r="I67" i="11"/>
  <c r="F67" i="11" s="1"/>
  <c r="J79" i="11"/>
  <c r="F79" i="11" s="1"/>
  <c r="J92" i="11"/>
  <c r="F92" i="11" s="1"/>
  <c r="J88" i="11"/>
  <c r="F88" i="11" s="1"/>
  <c r="J84" i="11"/>
  <c r="F84" i="11" s="1"/>
  <c r="J80" i="11"/>
  <c r="F80" i="11" s="1"/>
  <c r="H35" i="11"/>
  <c r="F35" i="11" s="1"/>
  <c r="H31" i="11"/>
  <c r="F31" i="11" s="1"/>
  <c r="H27" i="11"/>
  <c r="F27" i="11" s="1"/>
  <c r="H50" i="11"/>
  <c r="F50" i="11" s="1"/>
  <c r="H47" i="11"/>
  <c r="F47" i="11" s="1"/>
  <c r="H39" i="11"/>
  <c r="F39" i="11" s="1"/>
  <c r="I54" i="11"/>
  <c r="F54" i="11" s="1"/>
  <c r="I60" i="11"/>
  <c r="F60" i="11" s="1"/>
  <c r="I56" i="11"/>
  <c r="F56" i="11" s="1"/>
  <c r="I76" i="11"/>
  <c r="F76" i="11" s="1"/>
  <c r="I72" i="11"/>
  <c r="F72" i="11" s="1"/>
  <c r="I68" i="11"/>
  <c r="F68" i="11" s="1"/>
  <c r="I64" i="11"/>
  <c r="F64" i="11" s="1"/>
  <c r="J93" i="11"/>
  <c r="F93" i="11" s="1"/>
  <c r="J89" i="11"/>
  <c r="F89" i="11" s="1"/>
  <c r="J85" i="11"/>
  <c r="F85" i="11" s="1"/>
  <c r="J81" i="11"/>
  <c r="F81" i="11" s="1"/>
  <c r="H32" i="11"/>
  <c r="F32" i="11" s="1"/>
  <c r="H28" i="11"/>
  <c r="F28" i="11" s="1"/>
  <c r="H51" i="11"/>
  <c r="F51" i="11" s="1"/>
  <c r="H44" i="11"/>
  <c r="F44" i="11" s="1"/>
  <c r="H40" i="11"/>
  <c r="F40" i="11" s="1"/>
  <c r="H36" i="11"/>
  <c r="F36" i="11" s="1"/>
  <c r="I61" i="11"/>
  <c r="F61" i="11" s="1"/>
  <c r="I57" i="11"/>
  <c r="F57" i="11" s="1"/>
  <c r="I77" i="11"/>
  <c r="F77" i="11" s="1"/>
  <c r="I73" i="11"/>
  <c r="F73" i="11" s="1"/>
  <c r="I69" i="11"/>
  <c r="F69" i="11" s="1"/>
  <c r="I65" i="11"/>
  <c r="F65" i="11" s="1"/>
  <c r="J94" i="11"/>
  <c r="F94" i="11" s="1"/>
  <c r="J90" i="11"/>
  <c r="F90" i="11" s="1"/>
  <c r="J86" i="11"/>
  <c r="F86" i="11" s="1"/>
  <c r="J82" i="11"/>
  <c r="F82" i="11" s="1"/>
  <c r="D26" i="11"/>
  <c r="D106" i="11" s="1"/>
  <c r="Y44" i="20"/>
  <c r="H71" i="20"/>
  <c r="Q5" i="20"/>
  <c r="Q12" i="20" s="1"/>
  <c r="AI5" i="20"/>
  <c r="AI11" i="20" s="1"/>
  <c r="G71" i="20"/>
  <c r="Z5" i="20"/>
  <c r="Z44" i="20" s="1"/>
  <c r="AM32" i="18"/>
  <c r="AM33" i="18"/>
  <c r="AM34" i="18"/>
  <c r="AM35" i="18"/>
  <c r="AM36" i="18"/>
  <c r="AM37" i="18"/>
  <c r="AM38" i="18"/>
  <c r="AM39" i="18"/>
  <c r="AM40" i="18"/>
  <c r="AM41" i="18"/>
  <c r="AM42" i="18"/>
  <c r="AM43" i="18"/>
  <c r="AM44" i="18"/>
  <c r="AM45" i="18"/>
  <c r="AM46" i="18"/>
  <c r="AM47" i="18"/>
  <c r="AM48" i="18"/>
  <c r="AM49" i="18"/>
  <c r="AM50" i="18"/>
  <c r="AM51" i="18"/>
  <c r="AM52" i="18"/>
  <c r="AM53" i="18"/>
  <c r="AM54" i="18"/>
  <c r="AM55" i="18"/>
  <c r="AM56" i="18"/>
  <c r="AM57" i="18"/>
  <c r="AM58" i="18"/>
  <c r="AM59" i="18"/>
  <c r="AM60" i="18"/>
  <c r="AM31" i="18"/>
  <c r="S61" i="18"/>
  <c r="S147" i="18" s="1"/>
  <c r="U61" i="18"/>
  <c r="U147" i="18" s="1"/>
  <c r="V61" i="18"/>
  <c r="V147" i="18" s="1"/>
  <c r="W61" i="18"/>
  <c r="W147" i="18" s="1"/>
  <c r="X61" i="18"/>
  <c r="X147" i="18" s="1"/>
  <c r="Y61" i="18"/>
  <c r="Z61" i="18"/>
  <c r="AA61" i="18"/>
  <c r="AA147" i="18" s="1"/>
  <c r="AB61" i="18"/>
  <c r="AB147" i="18" s="1"/>
  <c r="AC61" i="18"/>
  <c r="AC147" i="18" s="1"/>
  <c r="AD61" i="18"/>
  <c r="AD147" i="18" s="1"/>
  <c r="AE61" i="18"/>
  <c r="AE147" i="18" s="1"/>
  <c r="AF61" i="18"/>
  <c r="AF147" i="18" s="1"/>
  <c r="AG61" i="18"/>
  <c r="AG147" i="18" s="1"/>
  <c r="AH61" i="18"/>
  <c r="AH147" i="18" s="1"/>
  <c r="AI61" i="18"/>
  <c r="AI147" i="18" s="1"/>
  <c r="AJ61" i="18"/>
  <c r="AJ147" i="18" s="1"/>
  <c r="AK61" i="18"/>
  <c r="AK147" i="18" s="1"/>
  <c r="AL61" i="18"/>
  <c r="AL147" i="18" s="1"/>
  <c r="AN61" i="18"/>
  <c r="AN147" i="18" s="1"/>
  <c r="AO61" i="18"/>
  <c r="AO147" i="18" s="1"/>
  <c r="R61" i="18"/>
  <c r="R147" i="18" s="1"/>
  <c r="K96" i="20" l="1"/>
  <c r="K94" i="20"/>
  <c r="K105" i="20"/>
  <c r="K121" i="20"/>
  <c r="K102" i="20"/>
  <c r="K132" i="20"/>
  <c r="D97" i="11"/>
  <c r="K100" i="20"/>
  <c r="K125" i="20"/>
  <c r="K104" i="20"/>
  <c r="F119" i="11"/>
  <c r="C203" i="11"/>
  <c r="E105" i="11"/>
  <c r="K109" i="20"/>
  <c r="G30" i="9"/>
  <c r="AO25" i="19"/>
  <c r="E25" i="11"/>
  <c r="K129" i="20"/>
  <c r="S338" i="25"/>
  <c r="S339" i="25"/>
  <c r="AG17" i="19"/>
  <c r="J18" i="9"/>
  <c r="BS25" i="19"/>
  <c r="L30" i="9"/>
  <c r="AT25" i="19"/>
  <c r="BS26" i="19"/>
  <c r="L31" i="9"/>
  <c r="AT26" i="19"/>
  <c r="CD25" i="19"/>
  <c r="K36" i="9"/>
  <c r="BE25" i="19"/>
  <c r="G31" i="9"/>
  <c r="AO26" i="19"/>
  <c r="J106" i="11"/>
  <c r="K106" i="11" s="1"/>
  <c r="L106" i="11" s="1"/>
  <c r="M106" i="11" s="1"/>
  <c r="N106" i="11" s="1"/>
  <c r="O106" i="11" s="1"/>
  <c r="Y147" i="18"/>
  <c r="G38" i="9"/>
  <c r="BA27" i="19"/>
  <c r="AF23" i="19"/>
  <c r="I24" i="9"/>
  <c r="AF21" i="19"/>
  <c r="I22" i="9"/>
  <c r="BR27" i="19"/>
  <c r="K32" i="9"/>
  <c r="AS27" i="19"/>
  <c r="J136" i="20"/>
  <c r="H86" i="20"/>
  <c r="Z147" i="18"/>
  <c r="G136" i="20"/>
  <c r="K108" i="20"/>
  <c r="K118" i="20"/>
  <c r="AH19" i="19"/>
  <c r="K20" i="9"/>
  <c r="R71" i="25"/>
  <c r="T71" i="25" s="1"/>
  <c r="Q72" i="25"/>
  <c r="CE27" i="19"/>
  <c r="L38" i="9"/>
  <c r="BF27" i="19"/>
  <c r="G36" i="9"/>
  <c r="BA25" i="19"/>
  <c r="G37" i="9"/>
  <c r="BA26" i="19"/>
  <c r="G32" i="9"/>
  <c r="AO27" i="19"/>
  <c r="CE26" i="19"/>
  <c r="L37" i="9"/>
  <c r="BF26" i="19"/>
  <c r="F48" i="26"/>
  <c r="C50" i="26"/>
  <c r="D49" i="26"/>
  <c r="F49" i="26" s="1"/>
  <c r="R73" i="26"/>
  <c r="T73" i="26" s="1"/>
  <c r="Q74" i="26"/>
  <c r="AA156" i="26"/>
  <c r="J50" i="26"/>
  <c r="K49" i="26"/>
  <c r="M49" i="26" s="1"/>
  <c r="AH192" i="26"/>
  <c r="T72" i="26"/>
  <c r="Y157" i="26"/>
  <c r="X158" i="26"/>
  <c r="M48" i="26"/>
  <c r="AE194" i="26"/>
  <c r="AF193" i="26"/>
  <c r="AH193" i="26" s="1"/>
  <c r="AE194" i="25"/>
  <c r="AF193" i="25"/>
  <c r="AH193" i="25" s="1"/>
  <c r="F48" i="25"/>
  <c r="X158" i="25"/>
  <c r="Y157" i="25"/>
  <c r="AA157" i="25" s="1"/>
  <c r="J51" i="25"/>
  <c r="K50" i="25"/>
  <c r="AH192" i="25"/>
  <c r="C50" i="25"/>
  <c r="D49" i="25"/>
  <c r="F49" i="25" s="1"/>
  <c r="AA156" i="25"/>
  <c r="AE194" i="24"/>
  <c r="AF193" i="24"/>
  <c r="AH193" i="24" s="1"/>
  <c r="R61" i="24"/>
  <c r="T61" i="24" s="1"/>
  <c r="Q62" i="24"/>
  <c r="J50" i="24"/>
  <c r="K49" i="24"/>
  <c r="M49" i="24" s="1"/>
  <c r="Y157" i="24"/>
  <c r="X158" i="24"/>
  <c r="AH192" i="24"/>
  <c r="C50" i="24"/>
  <c r="D49" i="24"/>
  <c r="M48" i="24"/>
  <c r="T60" i="24"/>
  <c r="C50" i="23"/>
  <c r="D49" i="23"/>
  <c r="F49" i="23" s="1"/>
  <c r="J50" i="23"/>
  <c r="K49" i="23"/>
  <c r="M49" i="23" s="1"/>
  <c r="AF193" i="23"/>
  <c r="AE194" i="23"/>
  <c r="Q62" i="23"/>
  <c r="R61" i="23"/>
  <c r="AH192" i="23"/>
  <c r="F48" i="23"/>
  <c r="M48" i="23"/>
  <c r="Y157" i="23"/>
  <c r="X158" i="23"/>
  <c r="F157" i="11"/>
  <c r="K98" i="20"/>
  <c r="H29" i="22"/>
  <c r="F29" i="22" s="1"/>
  <c r="E29" i="22"/>
  <c r="E47" i="22" s="1"/>
  <c r="C47" i="22"/>
  <c r="K47" i="22" s="1"/>
  <c r="J112" i="11"/>
  <c r="K112" i="11" s="1"/>
  <c r="L112" i="11" s="1"/>
  <c r="M112" i="11" s="1"/>
  <c r="N112" i="11" s="1"/>
  <c r="O112" i="11" s="1"/>
  <c r="P112" i="11" s="1"/>
  <c r="Q112" i="11" s="1"/>
  <c r="R112" i="11" s="1"/>
  <c r="I43" i="22"/>
  <c r="I125" i="11"/>
  <c r="I47" i="22"/>
  <c r="I118" i="11"/>
  <c r="J118" i="11" s="1"/>
  <c r="K118" i="11" s="1"/>
  <c r="L118" i="11" s="1"/>
  <c r="M118" i="11" s="1"/>
  <c r="N118" i="11" s="1"/>
  <c r="O118" i="11" s="1"/>
  <c r="P118" i="11" s="1"/>
  <c r="Q118" i="11" s="1"/>
  <c r="R118" i="11" s="1"/>
  <c r="I45" i="22"/>
  <c r="D24" i="22"/>
  <c r="H24" i="22"/>
  <c r="C42" i="22"/>
  <c r="D28" i="22"/>
  <c r="D46" i="22" s="1"/>
  <c r="H28" i="22"/>
  <c r="F28" i="22" s="1"/>
  <c r="C46" i="22"/>
  <c r="D30" i="22"/>
  <c r="D48" i="22" s="1"/>
  <c r="H30" i="22"/>
  <c r="F30" i="22" s="1"/>
  <c r="C48" i="22"/>
  <c r="I133" i="11"/>
  <c r="J133" i="11" s="1"/>
  <c r="K133" i="11" s="1"/>
  <c r="L133" i="11" s="1"/>
  <c r="M133" i="11" s="1"/>
  <c r="N133" i="11" s="1"/>
  <c r="O133" i="11" s="1"/>
  <c r="P133" i="11" s="1"/>
  <c r="Q133" i="11" s="1"/>
  <c r="R133" i="11" s="1"/>
  <c r="I49" i="22"/>
  <c r="K174" i="11"/>
  <c r="L174" i="11" s="1"/>
  <c r="M174" i="11" s="1"/>
  <c r="N174" i="11" s="1"/>
  <c r="O174" i="11" s="1"/>
  <c r="P174" i="11" s="1"/>
  <c r="Q174" i="11" s="1"/>
  <c r="R174" i="11" s="1"/>
  <c r="S174" i="11" s="1"/>
  <c r="T174" i="11" s="1"/>
  <c r="T105" i="11" s="1"/>
  <c r="T104" i="11" s="1"/>
  <c r="C31" i="22"/>
  <c r="H25" i="22"/>
  <c r="F25" i="22" s="1"/>
  <c r="C43" i="22"/>
  <c r="J43" i="22" s="1"/>
  <c r="K43" i="22" s="1"/>
  <c r="L43" i="22" s="1"/>
  <c r="M43" i="22" s="1"/>
  <c r="N43" i="22" s="1"/>
  <c r="O43" i="22" s="1"/>
  <c r="P43" i="22" s="1"/>
  <c r="Q43" i="22" s="1"/>
  <c r="R43" i="22" s="1"/>
  <c r="E25" i="22"/>
  <c r="D26" i="22"/>
  <c r="D44" i="22" s="1"/>
  <c r="H26" i="22"/>
  <c r="F26" i="22" s="1"/>
  <c r="C44" i="22"/>
  <c r="E27" i="22"/>
  <c r="E45" i="22" s="1"/>
  <c r="C45" i="22"/>
  <c r="J45" i="22" s="1"/>
  <c r="K45" i="22" s="1"/>
  <c r="L45" i="22" s="1"/>
  <c r="M45" i="22" s="1"/>
  <c r="N45" i="22" s="1"/>
  <c r="O45" i="22" s="1"/>
  <c r="P45" i="22" s="1"/>
  <c r="Q45" i="22" s="1"/>
  <c r="R45" i="22" s="1"/>
  <c r="H27" i="22"/>
  <c r="F27" i="22" s="1"/>
  <c r="F127" i="11"/>
  <c r="F117" i="11"/>
  <c r="I203" i="11"/>
  <c r="F204" i="11"/>
  <c r="F203" i="11" s="1"/>
  <c r="W4" i="16"/>
  <c r="U5" i="16"/>
  <c r="F115" i="11"/>
  <c r="F121" i="11"/>
  <c r="F136" i="11"/>
  <c r="F143" i="11"/>
  <c r="F113" i="11"/>
  <c r="F129" i="11"/>
  <c r="F146" i="11"/>
  <c r="F151" i="11"/>
  <c r="F160" i="11"/>
  <c r="F141" i="11"/>
  <c r="M147" i="11"/>
  <c r="N147" i="11" s="1"/>
  <c r="O147" i="11" s="1"/>
  <c r="P147" i="11" s="1"/>
  <c r="Q147" i="11" s="1"/>
  <c r="R147" i="11" s="1"/>
  <c r="S147" i="11" s="1"/>
  <c r="K107" i="20"/>
  <c r="K131" i="20"/>
  <c r="K103" i="20"/>
  <c r="K135" i="20"/>
  <c r="L135" i="20" s="1"/>
  <c r="H88" i="20" s="1"/>
  <c r="K115" i="20"/>
  <c r="F168" i="11"/>
  <c r="F123" i="11"/>
  <c r="F139" i="11"/>
  <c r="F145" i="11"/>
  <c r="F155" i="11"/>
  <c r="D105" i="11"/>
  <c r="F126" i="11"/>
  <c r="F140" i="11"/>
  <c r="F149" i="11"/>
  <c r="J131" i="11"/>
  <c r="F114" i="11"/>
  <c r="F112" i="11"/>
  <c r="F137" i="11"/>
  <c r="F130" i="11"/>
  <c r="F128" i="11"/>
  <c r="F150" i="11"/>
  <c r="F158" i="11"/>
  <c r="F172" i="11"/>
  <c r="F135" i="11"/>
  <c r="F152" i="11"/>
  <c r="F156" i="11"/>
  <c r="F164" i="11"/>
  <c r="F159" i="11"/>
  <c r="F163" i="11"/>
  <c r="F167" i="11"/>
  <c r="F171" i="11"/>
  <c r="F175" i="11"/>
  <c r="F162" i="11"/>
  <c r="F166" i="11"/>
  <c r="F170" i="11"/>
  <c r="F161" i="11"/>
  <c r="F165" i="11"/>
  <c r="F169" i="11"/>
  <c r="F173" i="11"/>
  <c r="F154" i="11"/>
  <c r="F153" i="11"/>
  <c r="F148" i="11"/>
  <c r="F138" i="11"/>
  <c r="F142" i="11"/>
  <c r="F134" i="11"/>
  <c r="F107" i="11"/>
  <c r="F120" i="11"/>
  <c r="F111" i="11"/>
  <c r="F122" i="11"/>
  <c r="F109" i="11"/>
  <c r="F110" i="11"/>
  <c r="F124" i="11"/>
  <c r="F108" i="11"/>
  <c r="F116" i="11"/>
  <c r="F132" i="11"/>
  <c r="D25" i="11"/>
  <c r="F25" i="11"/>
  <c r="I97" i="11"/>
  <c r="F97" i="11" s="1"/>
  <c r="H25" i="11"/>
  <c r="C2" i="17" s="1"/>
  <c r="F2" i="17" s="1"/>
  <c r="I25" i="11"/>
  <c r="C3" i="17" s="1"/>
  <c r="G3" i="17" s="1"/>
  <c r="K16" i="16" s="1"/>
  <c r="L16" i="16" s="1"/>
  <c r="J25" i="11"/>
  <c r="C4" i="17" s="1"/>
  <c r="H4" i="17" s="1"/>
  <c r="T61" i="18"/>
  <c r="T147" i="18" s="1"/>
  <c r="AM61" i="18"/>
  <c r="AM147" i="18" s="1"/>
  <c r="K136" i="20" l="1"/>
  <c r="L136" i="20" s="1"/>
  <c r="F118" i="11"/>
  <c r="S43" i="22"/>
  <c r="F174" i="11"/>
  <c r="S105" i="11"/>
  <c r="I44" i="22"/>
  <c r="D65" i="22"/>
  <c r="C65" i="22"/>
  <c r="CF27" i="19"/>
  <c r="BG27" i="19"/>
  <c r="I42" i="22"/>
  <c r="C64" i="22"/>
  <c r="R72" i="25"/>
  <c r="T72" i="25" s="1"/>
  <c r="Q73" i="25"/>
  <c r="BS27" i="19"/>
  <c r="L32" i="9"/>
  <c r="AT27" i="19"/>
  <c r="AG23" i="19"/>
  <c r="J24" i="9"/>
  <c r="AI19" i="19"/>
  <c r="AJ19" i="19" s="1"/>
  <c r="AK19" i="19" s="1"/>
  <c r="AL19" i="19" s="1"/>
  <c r="L20" i="9"/>
  <c r="CE25" i="19"/>
  <c r="L36" i="9"/>
  <c r="BF25" i="19"/>
  <c r="L133" i="20"/>
  <c r="H87" i="20" s="1"/>
  <c r="S45" i="22"/>
  <c r="I46" i="22"/>
  <c r="J46" i="22" s="1"/>
  <c r="K46" i="22" s="1"/>
  <c r="L46" i="22" s="1"/>
  <c r="M46" i="22" s="1"/>
  <c r="N46" i="22" s="1"/>
  <c r="O46" i="22" s="1"/>
  <c r="P46" i="22" s="1"/>
  <c r="Q46" i="22" s="1"/>
  <c r="R46" i="22" s="1"/>
  <c r="D66" i="22"/>
  <c r="C66" i="22"/>
  <c r="I105" i="11"/>
  <c r="BT25" i="19"/>
  <c r="AU25" i="19"/>
  <c r="AH17" i="19"/>
  <c r="K18" i="9"/>
  <c r="I48" i="22"/>
  <c r="J48" i="22" s="1"/>
  <c r="K48" i="22" s="1"/>
  <c r="L48" i="22" s="1"/>
  <c r="M48" i="22" s="1"/>
  <c r="N48" i="22" s="1"/>
  <c r="O48" i="22" s="1"/>
  <c r="P48" i="22" s="1"/>
  <c r="Q48" i="22" s="1"/>
  <c r="R48" i="22" s="1"/>
  <c r="D67" i="22"/>
  <c r="CF26" i="19"/>
  <c r="BG26" i="19"/>
  <c r="AG21" i="19"/>
  <c r="J22" i="9"/>
  <c r="BT26" i="19"/>
  <c r="AU26" i="19"/>
  <c r="AE195" i="26"/>
  <c r="AF194" i="26"/>
  <c r="AA157" i="26"/>
  <c r="J51" i="26"/>
  <c r="K50" i="26"/>
  <c r="Y158" i="26"/>
  <c r="X159" i="26"/>
  <c r="Q75" i="26"/>
  <c r="R74" i="26"/>
  <c r="C51" i="26"/>
  <c r="D50" i="26"/>
  <c r="F50" i="26" s="1"/>
  <c r="C51" i="25"/>
  <c r="D50" i="25"/>
  <c r="F50" i="25" s="1"/>
  <c r="J52" i="25"/>
  <c r="K51" i="25"/>
  <c r="M51" i="25" s="1"/>
  <c r="AE195" i="25"/>
  <c r="AF194" i="25"/>
  <c r="M50" i="25"/>
  <c r="Y158" i="25"/>
  <c r="X159" i="25"/>
  <c r="C51" i="24"/>
  <c r="D50" i="24"/>
  <c r="F50" i="24" s="1"/>
  <c r="Y158" i="24"/>
  <c r="AA158" i="24" s="1"/>
  <c r="X159" i="24"/>
  <c r="R62" i="24"/>
  <c r="Q63" i="24"/>
  <c r="F49" i="24"/>
  <c r="J51" i="24"/>
  <c r="K50" i="24"/>
  <c r="AE195" i="24"/>
  <c r="AF194" i="24"/>
  <c r="AA157" i="24"/>
  <c r="AA157" i="23"/>
  <c r="Y158" i="23"/>
  <c r="AA158" i="23" s="1"/>
  <c r="X159" i="23"/>
  <c r="Q63" i="23"/>
  <c r="R62" i="23"/>
  <c r="T62" i="23" s="1"/>
  <c r="AH193" i="23"/>
  <c r="D50" i="23"/>
  <c r="C51" i="23"/>
  <c r="T61" i="23"/>
  <c r="AE195" i="23"/>
  <c r="AF194" i="23"/>
  <c r="K50" i="23"/>
  <c r="J51" i="23"/>
  <c r="L116" i="20"/>
  <c r="H85" i="20" s="1"/>
  <c r="F133" i="11"/>
  <c r="H31" i="22"/>
  <c r="F31" i="22" s="1"/>
  <c r="E31" i="22"/>
  <c r="E49" i="22" s="1"/>
  <c r="C49" i="22"/>
  <c r="K49" i="22" s="1"/>
  <c r="L49" i="22" s="1"/>
  <c r="M49" i="22" s="1"/>
  <c r="N49" i="22" s="1"/>
  <c r="O49" i="22" s="1"/>
  <c r="P49" i="22" s="1"/>
  <c r="Q49" i="22" s="1"/>
  <c r="R49" i="22" s="1"/>
  <c r="C23" i="22"/>
  <c r="F45" i="22"/>
  <c r="F43" i="22"/>
  <c r="D42" i="22"/>
  <c r="D41" i="22" s="1"/>
  <c r="D23" i="22"/>
  <c r="D21" i="22" s="1"/>
  <c r="J125" i="11"/>
  <c r="K125" i="11" s="1"/>
  <c r="L125" i="11" s="1"/>
  <c r="M125" i="11" s="1"/>
  <c r="N125" i="11" s="1"/>
  <c r="O125" i="11" s="1"/>
  <c r="P125" i="11" s="1"/>
  <c r="Q125" i="11" s="1"/>
  <c r="R125" i="11" s="1"/>
  <c r="J44" i="22"/>
  <c r="K44" i="22" s="1"/>
  <c r="L44" i="22" s="1"/>
  <c r="M44" i="22" s="1"/>
  <c r="N44" i="22" s="1"/>
  <c r="O44" i="22" s="1"/>
  <c r="P44" i="22" s="1"/>
  <c r="Q44" i="22" s="1"/>
  <c r="R44" i="22" s="1"/>
  <c r="J49" i="22"/>
  <c r="F24" i="22"/>
  <c r="J47" i="22"/>
  <c r="L47" i="22" s="1"/>
  <c r="M47" i="22" s="1"/>
  <c r="N47" i="22" s="1"/>
  <c r="O47" i="22" s="1"/>
  <c r="P47" i="22" s="1"/>
  <c r="Q47" i="22" s="1"/>
  <c r="R47" i="22" s="1"/>
  <c r="E43" i="22"/>
  <c r="H19" i="17"/>
  <c r="H24" i="17" s="1"/>
  <c r="T28" i="16"/>
  <c r="U28" i="16" s="1"/>
  <c r="F17" i="17"/>
  <c r="F22" i="17" s="1"/>
  <c r="D4" i="16"/>
  <c r="U6" i="16"/>
  <c r="F147" i="11"/>
  <c r="K131" i="11"/>
  <c r="P106" i="11"/>
  <c r="F23" i="22" l="1"/>
  <c r="F21" i="22" s="1"/>
  <c r="F38" i="22" s="1"/>
  <c r="I41" i="22"/>
  <c r="I40" i="22" s="1"/>
  <c r="I58" i="22" s="1"/>
  <c r="J42" i="22"/>
  <c r="J41" i="22" s="1"/>
  <c r="J40" i="22" s="1"/>
  <c r="J58" i="22" s="1"/>
  <c r="D68" i="22"/>
  <c r="BU25" i="19"/>
  <c r="AV25" i="19"/>
  <c r="BT27" i="19"/>
  <c r="AU27" i="19"/>
  <c r="AH21" i="19"/>
  <c r="K22" i="9"/>
  <c r="BU26" i="19"/>
  <c r="AV26" i="19"/>
  <c r="CG26" i="19"/>
  <c r="BH26" i="19"/>
  <c r="CF25" i="19"/>
  <c r="BG25" i="19"/>
  <c r="AH23" i="19"/>
  <c r="K24" i="9"/>
  <c r="R73" i="25"/>
  <c r="T73" i="25" s="1"/>
  <c r="Q74" i="25"/>
  <c r="C67" i="22"/>
  <c r="C68" i="22" s="1"/>
  <c r="AI17" i="19"/>
  <c r="AJ17" i="19" s="1"/>
  <c r="AK17" i="19" s="1"/>
  <c r="AL17" i="19" s="1"/>
  <c r="L18" i="9"/>
  <c r="CG27" i="19"/>
  <c r="BH27" i="19"/>
  <c r="H23" i="22"/>
  <c r="H21" i="22" s="1"/>
  <c r="H38" i="22" s="1"/>
  <c r="C38" i="22" s="1"/>
  <c r="J105" i="11"/>
  <c r="AA158" i="26"/>
  <c r="J52" i="26"/>
  <c r="K51" i="26"/>
  <c r="M51" i="26" s="1"/>
  <c r="AE196" i="26"/>
  <c r="AF195" i="26"/>
  <c r="Y159" i="26"/>
  <c r="X160" i="26"/>
  <c r="M50" i="26"/>
  <c r="AH194" i="26"/>
  <c r="T74" i="26"/>
  <c r="C52" i="26"/>
  <c r="D51" i="26"/>
  <c r="F51" i="26" s="1"/>
  <c r="R75" i="26"/>
  <c r="T75" i="26" s="1"/>
  <c r="Q76" i="26"/>
  <c r="AA158" i="25"/>
  <c r="AH194" i="25"/>
  <c r="X160" i="25"/>
  <c r="Y159" i="25"/>
  <c r="AA159" i="25" s="1"/>
  <c r="J53" i="25"/>
  <c r="K52" i="25"/>
  <c r="AE196" i="25"/>
  <c r="AF195" i="25"/>
  <c r="AH195" i="25" s="1"/>
  <c r="C52" i="25"/>
  <c r="D51" i="25"/>
  <c r="F51" i="25" s="1"/>
  <c r="Y159" i="24"/>
  <c r="AA159" i="24" s="1"/>
  <c r="X160" i="24"/>
  <c r="AE196" i="24"/>
  <c r="AF195" i="24"/>
  <c r="AH195" i="24" s="1"/>
  <c r="AH194" i="24"/>
  <c r="T62" i="24"/>
  <c r="C52" i="24"/>
  <c r="D51" i="24"/>
  <c r="J52" i="24"/>
  <c r="K51" i="24"/>
  <c r="M51" i="24" s="1"/>
  <c r="R63" i="24"/>
  <c r="Q64" i="24"/>
  <c r="M50" i="24"/>
  <c r="Y159" i="23"/>
  <c r="X160" i="23"/>
  <c r="AF195" i="23"/>
  <c r="AE196" i="23"/>
  <c r="AH194" i="23"/>
  <c r="M50" i="23"/>
  <c r="F50" i="23"/>
  <c r="Q64" i="23"/>
  <c r="R63" i="23"/>
  <c r="J52" i="23"/>
  <c r="K51" i="23"/>
  <c r="M51" i="23" s="1"/>
  <c r="C52" i="23"/>
  <c r="D51" i="23"/>
  <c r="F51" i="23" s="1"/>
  <c r="F46" i="22"/>
  <c r="E41" i="22"/>
  <c r="E40" i="22" s="1"/>
  <c r="E58" i="22" s="1"/>
  <c r="E23" i="22"/>
  <c r="E21" i="22" s="1"/>
  <c r="E38" i="22" s="1"/>
  <c r="F125" i="11"/>
  <c r="S47" i="22"/>
  <c r="T47" i="22" s="1"/>
  <c r="D40" i="22"/>
  <c r="S49" i="22"/>
  <c r="T49" i="22" s="1"/>
  <c r="F49" i="22" s="1"/>
  <c r="D38" i="22"/>
  <c r="F48" i="22"/>
  <c r="F44" i="22"/>
  <c r="AA4" i="16"/>
  <c r="E4" i="16"/>
  <c r="F4" i="16"/>
  <c r="H29" i="17"/>
  <c r="I19" i="17" s="1"/>
  <c r="I24" i="17"/>
  <c r="J24" i="17" s="1"/>
  <c r="K24" i="17" s="1"/>
  <c r="L24" i="17" s="1"/>
  <c r="M24" i="17" s="1"/>
  <c r="N24" i="17" s="1"/>
  <c r="O24" i="17" s="1"/>
  <c r="P24" i="17" s="1"/>
  <c r="Q24" i="17" s="1"/>
  <c r="V5" i="16"/>
  <c r="U7" i="16"/>
  <c r="L131" i="11"/>
  <c r="K105" i="11"/>
  <c r="Q106" i="11"/>
  <c r="K42" i="22" l="1"/>
  <c r="CH26" i="19"/>
  <c r="BJ26" i="19" s="1"/>
  <c r="BI26" i="19"/>
  <c r="AI21" i="19"/>
  <c r="AJ21" i="19" s="1"/>
  <c r="AK21" i="19" s="1"/>
  <c r="AL21" i="19" s="1"/>
  <c r="L22" i="9"/>
  <c r="CH27" i="19"/>
  <c r="BJ27" i="19" s="1"/>
  <c r="BI27" i="19"/>
  <c r="R74" i="25"/>
  <c r="T74" i="25" s="1"/>
  <c r="Q75" i="25"/>
  <c r="AI23" i="19"/>
  <c r="AJ23" i="19" s="1"/>
  <c r="AK23" i="19" s="1"/>
  <c r="AL23" i="19" s="1"/>
  <c r="L24" i="9"/>
  <c r="BV25" i="19"/>
  <c r="AX25" i="19" s="1"/>
  <c r="AW25" i="19"/>
  <c r="CG25" i="19"/>
  <c r="BH25" i="19"/>
  <c r="BV26" i="19"/>
  <c r="AX26" i="19" s="1"/>
  <c r="AW26" i="19"/>
  <c r="BU27" i="19"/>
  <c r="AV27" i="19"/>
  <c r="AE197" i="26"/>
  <c r="AF196" i="26"/>
  <c r="AH195" i="26"/>
  <c r="Q77" i="26"/>
  <c r="R76" i="26"/>
  <c r="C53" i="26"/>
  <c r="D52" i="26"/>
  <c r="AA159" i="26"/>
  <c r="J53" i="26"/>
  <c r="K52" i="26"/>
  <c r="Y160" i="26"/>
  <c r="X161" i="26"/>
  <c r="AE197" i="25"/>
  <c r="AF196" i="25"/>
  <c r="J54" i="25"/>
  <c r="K53" i="25"/>
  <c r="C53" i="25"/>
  <c r="D52" i="25"/>
  <c r="M52" i="25"/>
  <c r="Y160" i="25"/>
  <c r="AA160" i="25" s="1"/>
  <c r="X161" i="25"/>
  <c r="T63" i="24"/>
  <c r="C53" i="24"/>
  <c r="D52" i="24"/>
  <c r="F52" i="24" s="1"/>
  <c r="R64" i="24"/>
  <c r="T64" i="24" s="1"/>
  <c r="Q65" i="24"/>
  <c r="F51" i="24"/>
  <c r="Y160" i="24"/>
  <c r="AA160" i="24" s="1"/>
  <c r="X161" i="24"/>
  <c r="J53" i="24"/>
  <c r="K52" i="24"/>
  <c r="AE197" i="24"/>
  <c r="AF196" i="24"/>
  <c r="T63" i="23"/>
  <c r="AE197" i="23"/>
  <c r="AF196" i="23"/>
  <c r="AA159" i="23"/>
  <c r="D52" i="23"/>
  <c r="F52" i="23" s="1"/>
  <c r="C53" i="23"/>
  <c r="Q65" i="23"/>
  <c r="R64" i="23"/>
  <c r="T64" i="23" s="1"/>
  <c r="Y160" i="23"/>
  <c r="X161" i="23"/>
  <c r="K52" i="23"/>
  <c r="M52" i="23" s="1"/>
  <c r="J53" i="23"/>
  <c r="AH195" i="23"/>
  <c r="C21" i="22"/>
  <c r="F47" i="22"/>
  <c r="C41" i="22"/>
  <c r="T41" i="22"/>
  <c r="T40" i="22" s="1"/>
  <c r="T58" i="22" s="1"/>
  <c r="S41" i="22"/>
  <c r="S40" i="22" s="1"/>
  <c r="S58" i="22" s="1"/>
  <c r="C40" i="22"/>
  <c r="D58" i="22"/>
  <c r="K41" i="22"/>
  <c r="K40" i="22" s="1"/>
  <c r="K58" i="22" s="1"/>
  <c r="L42" i="22"/>
  <c r="G4" i="16"/>
  <c r="E5" i="16"/>
  <c r="I29" i="17"/>
  <c r="J19" i="17" s="1"/>
  <c r="J29" i="17" s="1"/>
  <c r="K19" i="17" s="1"/>
  <c r="K29" i="17" s="1"/>
  <c r="L19" i="17" s="1"/>
  <c r="L29" i="17" s="1"/>
  <c r="M19" i="17" s="1"/>
  <c r="M29" i="17" s="1"/>
  <c r="N19" i="17" s="1"/>
  <c r="N29" i="17" s="1"/>
  <c r="O19" i="17" s="1"/>
  <c r="O29" i="17" s="1"/>
  <c r="P19" i="17" s="1"/>
  <c r="P29" i="17" s="1"/>
  <c r="Q19" i="17" s="1"/>
  <c r="W5" i="16"/>
  <c r="V6" i="16"/>
  <c r="W6" i="16" s="1"/>
  <c r="U8" i="16"/>
  <c r="M131" i="11"/>
  <c r="L105" i="11"/>
  <c r="R106" i="11"/>
  <c r="F106" i="11" s="1"/>
  <c r="R75" i="25" l="1"/>
  <c r="T75" i="25" s="1"/>
  <c r="Q76" i="25"/>
  <c r="BV27" i="19"/>
  <c r="AX27" i="19" s="1"/>
  <c r="AW27" i="19"/>
  <c r="CH25" i="19"/>
  <c r="BJ25" i="19" s="1"/>
  <c r="BI25" i="19"/>
  <c r="M52" i="26"/>
  <c r="F52" i="26"/>
  <c r="AE198" i="26"/>
  <c r="AF197" i="26"/>
  <c r="Y161" i="26"/>
  <c r="X162" i="26"/>
  <c r="AA160" i="26"/>
  <c r="R77" i="26"/>
  <c r="T77" i="26" s="1"/>
  <c r="Q78" i="26"/>
  <c r="AH196" i="26"/>
  <c r="T76" i="26"/>
  <c r="J54" i="26"/>
  <c r="K53" i="26"/>
  <c r="M53" i="26" s="1"/>
  <c r="C54" i="26"/>
  <c r="D53" i="26"/>
  <c r="F53" i="26" s="1"/>
  <c r="C54" i="25"/>
  <c r="D53" i="25"/>
  <c r="F53" i="25" s="1"/>
  <c r="M53" i="25"/>
  <c r="AE198" i="25"/>
  <c r="AF197" i="25"/>
  <c r="AH196" i="25"/>
  <c r="X162" i="25"/>
  <c r="Y161" i="25"/>
  <c r="AA161" i="25" s="1"/>
  <c r="F52" i="25"/>
  <c r="J55" i="25"/>
  <c r="K54" i="25"/>
  <c r="M52" i="24"/>
  <c r="AE198" i="24"/>
  <c r="AF197" i="24"/>
  <c r="AH197" i="24" s="1"/>
  <c r="R65" i="24"/>
  <c r="Q66" i="24"/>
  <c r="AH196" i="24"/>
  <c r="Y161" i="24"/>
  <c r="AA161" i="24" s="1"/>
  <c r="X162" i="24"/>
  <c r="C54" i="24"/>
  <c r="D53" i="24"/>
  <c r="J54" i="24"/>
  <c r="K53" i="24"/>
  <c r="M53" i="24" s="1"/>
  <c r="AH196" i="23"/>
  <c r="J54" i="23"/>
  <c r="K53" i="23"/>
  <c r="AA160" i="23"/>
  <c r="Y161" i="23"/>
  <c r="AA161" i="23" s="1"/>
  <c r="X162" i="23"/>
  <c r="C54" i="23"/>
  <c r="D53" i="23"/>
  <c r="Q66" i="23"/>
  <c r="R65" i="23"/>
  <c r="T65" i="23" s="1"/>
  <c r="AE198" i="23"/>
  <c r="AF197" i="23"/>
  <c r="L41" i="22"/>
  <c r="L40" i="22" s="1"/>
  <c r="L58" i="22" s="1"/>
  <c r="M42" i="22"/>
  <c r="E6" i="16"/>
  <c r="D5" i="16"/>
  <c r="U9" i="16"/>
  <c r="V7" i="16"/>
  <c r="W7" i="16" s="1"/>
  <c r="N131" i="11"/>
  <c r="M105" i="11"/>
  <c r="Q77" i="25" l="1"/>
  <c r="R76" i="25"/>
  <c r="T76" i="25" s="1"/>
  <c r="Q79" i="26"/>
  <c r="R78" i="26"/>
  <c r="T78" i="26" s="1"/>
  <c r="Y162" i="26"/>
  <c r="AA162" i="26" s="1"/>
  <c r="X163" i="26"/>
  <c r="C55" i="26"/>
  <c r="D54" i="26"/>
  <c r="F54" i="26" s="1"/>
  <c r="AA161" i="26"/>
  <c r="J55" i="26"/>
  <c r="K54" i="26"/>
  <c r="M54" i="26" s="1"/>
  <c r="AE199" i="26"/>
  <c r="AF198" i="26"/>
  <c r="AH198" i="26" s="1"/>
  <c r="AH197" i="26"/>
  <c r="M54" i="25"/>
  <c r="AE199" i="25"/>
  <c r="AF198" i="25"/>
  <c r="AH198" i="25" s="1"/>
  <c r="C55" i="25"/>
  <c r="D54" i="25"/>
  <c r="F54" i="25" s="1"/>
  <c r="J56" i="25"/>
  <c r="K55" i="25"/>
  <c r="M55" i="25" s="1"/>
  <c r="Y162" i="25"/>
  <c r="AA162" i="25" s="1"/>
  <c r="X163" i="25"/>
  <c r="AH197" i="25"/>
  <c r="J55" i="24"/>
  <c r="K54" i="24"/>
  <c r="M54" i="24" s="1"/>
  <c r="T65" i="24"/>
  <c r="Y162" i="24"/>
  <c r="AA162" i="24" s="1"/>
  <c r="X163" i="24"/>
  <c r="R66" i="24"/>
  <c r="T66" i="24" s="1"/>
  <c r="Q67" i="24"/>
  <c r="C55" i="24"/>
  <c r="D54" i="24"/>
  <c r="F54" i="24" s="1"/>
  <c r="AE199" i="24"/>
  <c r="AF198" i="24"/>
  <c r="F53" i="24"/>
  <c r="AH197" i="23"/>
  <c r="AE199" i="23"/>
  <c r="AF198" i="23"/>
  <c r="AH198" i="23" s="1"/>
  <c r="M53" i="23"/>
  <c r="Y162" i="23"/>
  <c r="X163" i="23"/>
  <c r="Q67" i="23"/>
  <c r="R66" i="23"/>
  <c r="T66" i="23" s="1"/>
  <c r="D54" i="23"/>
  <c r="F54" i="23" s="1"/>
  <c r="C55" i="23"/>
  <c r="F53" i="23"/>
  <c r="K54" i="23"/>
  <c r="M54" i="23" s="1"/>
  <c r="J55" i="23"/>
  <c r="N42" i="22"/>
  <c r="M41" i="22"/>
  <c r="M40" i="22" s="1"/>
  <c r="M58" i="22" s="1"/>
  <c r="AA5" i="16"/>
  <c r="F5" i="16"/>
  <c r="D6" i="16"/>
  <c r="E7" i="16"/>
  <c r="V8" i="16"/>
  <c r="U10" i="16"/>
  <c r="O131" i="11"/>
  <c r="N105" i="11"/>
  <c r="R77" i="25" l="1"/>
  <c r="T77" i="25" s="1"/>
  <c r="Q78" i="25"/>
  <c r="R79" i="26"/>
  <c r="T79" i="26" s="1"/>
  <c r="Q80" i="26"/>
  <c r="Y163" i="26"/>
  <c r="AA163" i="26" s="1"/>
  <c r="X164" i="26"/>
  <c r="AE200" i="26"/>
  <c r="AF199" i="26"/>
  <c r="AH199" i="26" s="1"/>
  <c r="J56" i="26"/>
  <c r="K55" i="26"/>
  <c r="M55" i="26" s="1"/>
  <c r="C56" i="26"/>
  <c r="D55" i="26"/>
  <c r="F55" i="26" s="1"/>
  <c r="C56" i="25"/>
  <c r="D55" i="25"/>
  <c r="F55" i="25" s="1"/>
  <c r="X164" i="25"/>
  <c r="Y163" i="25"/>
  <c r="AA163" i="25" s="1"/>
  <c r="K56" i="25"/>
  <c r="M56" i="25" s="1"/>
  <c r="J57" i="25"/>
  <c r="AE200" i="25"/>
  <c r="AF199" i="25"/>
  <c r="AH199" i="25" s="1"/>
  <c r="AE200" i="24"/>
  <c r="AF199" i="24"/>
  <c r="AH199" i="24" s="1"/>
  <c r="J56" i="24"/>
  <c r="K55" i="24"/>
  <c r="M55" i="24" s="1"/>
  <c r="AH198" i="24"/>
  <c r="R67" i="24"/>
  <c r="T67" i="24" s="1"/>
  <c r="Q68" i="24"/>
  <c r="Y163" i="24"/>
  <c r="AA163" i="24" s="1"/>
  <c r="X164" i="24"/>
  <c r="C56" i="24"/>
  <c r="D55" i="24"/>
  <c r="F55" i="24" s="1"/>
  <c r="Q68" i="23"/>
  <c r="R67" i="23"/>
  <c r="T67" i="23" s="1"/>
  <c r="J56" i="23"/>
  <c r="K55" i="23"/>
  <c r="M55" i="23" s="1"/>
  <c r="C56" i="23"/>
  <c r="D55" i="23"/>
  <c r="F55" i="23" s="1"/>
  <c r="AA162" i="23"/>
  <c r="AE200" i="23"/>
  <c r="AF199" i="23"/>
  <c r="AH199" i="23" s="1"/>
  <c r="Y163" i="23"/>
  <c r="AA163" i="23" s="1"/>
  <c r="X164" i="23"/>
  <c r="N41" i="22"/>
  <c r="N40" i="22" s="1"/>
  <c r="N58" i="22" s="1"/>
  <c r="O42" i="22"/>
  <c r="E8" i="16"/>
  <c r="AA6" i="16"/>
  <c r="F6" i="16"/>
  <c r="D7" i="16"/>
  <c r="G5" i="16"/>
  <c r="W8" i="16"/>
  <c r="V9" i="16"/>
  <c r="W9" i="16" s="1"/>
  <c r="U11" i="16"/>
  <c r="P131" i="11"/>
  <c r="O105" i="11"/>
  <c r="R78" i="25" l="1"/>
  <c r="T78" i="25" s="1"/>
  <c r="Q79" i="25"/>
  <c r="C57" i="26"/>
  <c r="D56" i="26"/>
  <c r="F56" i="26" s="1"/>
  <c r="AF200" i="26"/>
  <c r="AH200" i="26" s="1"/>
  <c r="AE201" i="26"/>
  <c r="Q81" i="26"/>
  <c r="R80" i="26"/>
  <c r="T80" i="26" s="1"/>
  <c r="K56" i="26"/>
  <c r="M56" i="26" s="1"/>
  <c r="J57" i="26"/>
  <c r="Y164" i="26"/>
  <c r="AA164" i="26" s="1"/>
  <c r="X165" i="26"/>
  <c r="AF200" i="25"/>
  <c r="AH200" i="25" s="1"/>
  <c r="AE201" i="25"/>
  <c r="C57" i="25"/>
  <c r="D56" i="25"/>
  <c r="F56" i="25" s="1"/>
  <c r="X165" i="25"/>
  <c r="Y164" i="25"/>
  <c r="AA164" i="25" s="1"/>
  <c r="J58" i="25"/>
  <c r="K57" i="25"/>
  <c r="X165" i="24"/>
  <c r="Y164" i="24"/>
  <c r="AA164" i="24" s="1"/>
  <c r="R68" i="24"/>
  <c r="T68" i="24" s="1"/>
  <c r="Q69" i="24"/>
  <c r="AF200" i="24"/>
  <c r="AH200" i="24" s="1"/>
  <c r="AE201" i="24"/>
  <c r="C57" i="24"/>
  <c r="D56" i="24"/>
  <c r="F56" i="24" s="1"/>
  <c r="K56" i="24"/>
  <c r="M56" i="24" s="1"/>
  <c r="J57" i="24"/>
  <c r="AE201" i="23"/>
  <c r="AF200" i="23"/>
  <c r="AH200" i="23" s="1"/>
  <c r="D56" i="23"/>
  <c r="F56" i="23" s="1"/>
  <c r="C57" i="23"/>
  <c r="R68" i="23"/>
  <c r="T68" i="23" s="1"/>
  <c r="Q69" i="23"/>
  <c r="K56" i="23"/>
  <c r="M56" i="23" s="1"/>
  <c r="J57" i="23"/>
  <c r="X165" i="23"/>
  <c r="Y164" i="23"/>
  <c r="AA164" i="23" s="1"/>
  <c r="O41" i="22"/>
  <c r="O40" i="22" s="1"/>
  <c r="O58" i="22" s="1"/>
  <c r="P42" i="22"/>
  <c r="E9" i="16"/>
  <c r="AA7" i="16"/>
  <c r="F7" i="16"/>
  <c r="D8" i="16"/>
  <c r="G6" i="16"/>
  <c r="V10" i="16"/>
  <c r="U12" i="16"/>
  <c r="Q131" i="11"/>
  <c r="P105" i="11"/>
  <c r="R79" i="25" l="1"/>
  <c r="T79" i="25" s="1"/>
  <c r="Q80" i="25"/>
  <c r="J58" i="26"/>
  <c r="K57" i="26"/>
  <c r="AF201" i="26"/>
  <c r="AE202" i="26"/>
  <c r="Q82" i="26"/>
  <c r="R81" i="26"/>
  <c r="C58" i="26"/>
  <c r="D57" i="26"/>
  <c r="X166" i="26"/>
  <c r="Y165" i="26"/>
  <c r="J59" i="25"/>
  <c r="K58" i="25"/>
  <c r="M57" i="25"/>
  <c r="N57" i="25"/>
  <c r="AF201" i="25"/>
  <c r="AE202" i="25"/>
  <c r="X166" i="25"/>
  <c r="Y165" i="25"/>
  <c r="C58" i="25"/>
  <c r="D57" i="25"/>
  <c r="X166" i="24"/>
  <c r="Y165" i="24"/>
  <c r="AE202" i="24"/>
  <c r="AF201" i="24"/>
  <c r="J58" i="24"/>
  <c r="K57" i="24"/>
  <c r="C58" i="24"/>
  <c r="D57" i="24"/>
  <c r="Q70" i="24"/>
  <c r="R69" i="24"/>
  <c r="AF201" i="23"/>
  <c r="AE202" i="23"/>
  <c r="X166" i="23"/>
  <c r="Y165" i="23"/>
  <c r="Q70" i="23"/>
  <c r="R69" i="23"/>
  <c r="K57" i="23"/>
  <c r="J58" i="23"/>
  <c r="C58" i="23"/>
  <c r="D57" i="23"/>
  <c r="Q42" i="22"/>
  <c r="P41" i="22"/>
  <c r="P40" i="22" s="1"/>
  <c r="P58" i="22" s="1"/>
  <c r="AA8" i="16"/>
  <c r="F8" i="16"/>
  <c r="D9" i="16"/>
  <c r="E10" i="16"/>
  <c r="G7" i="16"/>
  <c r="W10" i="16"/>
  <c r="U13" i="16"/>
  <c r="V11" i="16"/>
  <c r="W11" i="16" s="1"/>
  <c r="R131" i="11"/>
  <c r="Q105" i="11"/>
  <c r="R80" i="25" l="1"/>
  <c r="T80" i="25" s="1"/>
  <c r="Q81" i="25"/>
  <c r="F57" i="26"/>
  <c r="G57" i="26"/>
  <c r="AE203" i="26"/>
  <c r="AF202" i="26"/>
  <c r="Y166" i="26"/>
  <c r="X167" i="26"/>
  <c r="Q83" i="26"/>
  <c r="R82" i="26"/>
  <c r="K58" i="26"/>
  <c r="J59" i="26"/>
  <c r="AA165" i="26"/>
  <c r="AB165" i="26"/>
  <c r="T81" i="26"/>
  <c r="U81" i="26"/>
  <c r="M57" i="26"/>
  <c r="N57" i="26"/>
  <c r="C59" i="26"/>
  <c r="D58" i="26"/>
  <c r="AH201" i="26"/>
  <c r="AI201" i="26"/>
  <c r="F57" i="25"/>
  <c r="G57" i="25"/>
  <c r="AE203" i="25"/>
  <c r="AF202" i="25"/>
  <c r="G347" i="25"/>
  <c r="Y166" i="25"/>
  <c r="X167" i="25"/>
  <c r="J60" i="25"/>
  <c r="K59" i="25"/>
  <c r="M59" i="25" s="1"/>
  <c r="AA165" i="25"/>
  <c r="AB165" i="25"/>
  <c r="M58" i="25"/>
  <c r="C59" i="25"/>
  <c r="D58" i="25"/>
  <c r="AH201" i="25"/>
  <c r="AI201" i="25"/>
  <c r="F57" i="24"/>
  <c r="G57" i="24"/>
  <c r="AH201" i="24"/>
  <c r="AI201" i="24"/>
  <c r="Q71" i="24"/>
  <c r="R70" i="24"/>
  <c r="K58" i="24"/>
  <c r="J59" i="24"/>
  <c r="Y166" i="24"/>
  <c r="X167" i="24"/>
  <c r="T69" i="24"/>
  <c r="U69" i="24"/>
  <c r="M57" i="24"/>
  <c r="N57" i="24"/>
  <c r="AA165" i="24"/>
  <c r="AB165" i="24"/>
  <c r="D58" i="24"/>
  <c r="C59" i="24"/>
  <c r="AE203" i="24"/>
  <c r="AF202" i="24"/>
  <c r="AH201" i="23"/>
  <c r="AI201" i="23"/>
  <c r="Q71" i="23"/>
  <c r="R70" i="23"/>
  <c r="F57" i="23"/>
  <c r="G57" i="23"/>
  <c r="AF202" i="23"/>
  <c r="AE203" i="23"/>
  <c r="M57" i="23"/>
  <c r="N57" i="23"/>
  <c r="X167" i="23"/>
  <c r="Y166" i="23"/>
  <c r="C59" i="23"/>
  <c r="D58" i="23"/>
  <c r="T69" i="23"/>
  <c r="U69" i="23"/>
  <c r="J59" i="23"/>
  <c r="K58" i="23"/>
  <c r="AA165" i="23"/>
  <c r="AB165" i="23"/>
  <c r="Q41" i="22"/>
  <c r="Q40" i="22" s="1"/>
  <c r="Q58" i="22" s="1"/>
  <c r="R42" i="22"/>
  <c r="R41" i="22" s="1"/>
  <c r="R40" i="22" s="1"/>
  <c r="R58" i="22" s="1"/>
  <c r="G8" i="16"/>
  <c r="AA9" i="16"/>
  <c r="F9" i="16"/>
  <c r="D10" i="16"/>
  <c r="E11" i="16"/>
  <c r="V12" i="16"/>
  <c r="W12" i="16" s="1"/>
  <c r="U14" i="16"/>
  <c r="R105" i="11"/>
  <c r="F131" i="11"/>
  <c r="F105" i="11" s="1"/>
  <c r="R81" i="25" l="1"/>
  <c r="Q82" i="25"/>
  <c r="G347" i="26"/>
  <c r="T82" i="26"/>
  <c r="AH202" i="26"/>
  <c r="C60" i="26"/>
  <c r="D59" i="26"/>
  <c r="F59" i="26" s="1"/>
  <c r="M58" i="26"/>
  <c r="AA166" i="26"/>
  <c r="F58" i="26"/>
  <c r="J60" i="26"/>
  <c r="K59" i="26"/>
  <c r="M59" i="26" s="1"/>
  <c r="X168" i="26"/>
  <c r="Y167" i="26"/>
  <c r="AA167" i="26" s="1"/>
  <c r="G346" i="26"/>
  <c r="AK57" i="26"/>
  <c r="R83" i="26"/>
  <c r="T83" i="26" s="1"/>
  <c r="Q84" i="26"/>
  <c r="AE204" i="26"/>
  <c r="AF203" i="26"/>
  <c r="AH203" i="26" s="1"/>
  <c r="F58" i="25"/>
  <c r="X168" i="25"/>
  <c r="Y167" i="25"/>
  <c r="AA167" i="25" s="1"/>
  <c r="AH202" i="25"/>
  <c r="G346" i="25"/>
  <c r="AK57" i="25"/>
  <c r="C60" i="25"/>
  <c r="D59" i="25"/>
  <c r="F59" i="25" s="1"/>
  <c r="J61" i="25"/>
  <c r="K60" i="25"/>
  <c r="M60" i="25" s="1"/>
  <c r="AA166" i="25"/>
  <c r="AE204" i="25"/>
  <c r="AF203" i="25"/>
  <c r="AH203" i="25" s="1"/>
  <c r="F58" i="24"/>
  <c r="AA166" i="24"/>
  <c r="R71" i="24"/>
  <c r="T71" i="24" s="1"/>
  <c r="Q72" i="24"/>
  <c r="AH202" i="24"/>
  <c r="K59" i="24"/>
  <c r="M59" i="24" s="1"/>
  <c r="J60" i="24"/>
  <c r="D59" i="24"/>
  <c r="F59" i="24" s="1"/>
  <c r="C60" i="24"/>
  <c r="G347" i="24"/>
  <c r="Y167" i="24"/>
  <c r="AA167" i="24" s="1"/>
  <c r="X168" i="24"/>
  <c r="T70" i="24"/>
  <c r="G346" i="24"/>
  <c r="AK57" i="24"/>
  <c r="AE204" i="24"/>
  <c r="AF203" i="24"/>
  <c r="AH203" i="24" s="1"/>
  <c r="M58" i="24"/>
  <c r="G347" i="23"/>
  <c r="J60" i="23"/>
  <c r="K59" i="23"/>
  <c r="M59" i="23" s="1"/>
  <c r="C60" i="23"/>
  <c r="D59" i="23"/>
  <c r="F59" i="23" s="1"/>
  <c r="M58" i="23"/>
  <c r="F58" i="23"/>
  <c r="G346" i="23"/>
  <c r="AK57" i="23"/>
  <c r="Y167" i="23"/>
  <c r="AA167" i="23" s="1"/>
  <c r="X168" i="23"/>
  <c r="AH202" i="23"/>
  <c r="Q72" i="23"/>
  <c r="R71" i="23"/>
  <c r="T71" i="23" s="1"/>
  <c r="AA166" i="23"/>
  <c r="AF203" i="23"/>
  <c r="AH203" i="23" s="1"/>
  <c r="AE204" i="23"/>
  <c r="T70" i="23"/>
  <c r="C58" i="22"/>
  <c r="F58" i="22"/>
  <c r="F42" i="22"/>
  <c r="F41" i="22" s="1"/>
  <c r="F40" i="22" s="1"/>
  <c r="AA10" i="16"/>
  <c r="F10" i="16"/>
  <c r="D11" i="16"/>
  <c r="E12" i="16"/>
  <c r="G9" i="16"/>
  <c r="V13" i="16"/>
  <c r="W13" i="16" s="1"/>
  <c r="U15" i="16"/>
  <c r="Q83" i="25" l="1"/>
  <c r="R82" i="25"/>
  <c r="T82" i="25" s="1"/>
  <c r="U81" i="25"/>
  <c r="T81" i="25"/>
  <c r="Q85" i="26"/>
  <c r="R84" i="26"/>
  <c r="T84" i="26" s="1"/>
  <c r="J61" i="26"/>
  <c r="K60" i="26"/>
  <c r="M60" i="26" s="1"/>
  <c r="AE205" i="26"/>
  <c r="AF204" i="26"/>
  <c r="Y168" i="26"/>
  <c r="AA168" i="26" s="1"/>
  <c r="X169" i="26"/>
  <c r="C61" i="26"/>
  <c r="D60" i="26"/>
  <c r="F60" i="26" s="1"/>
  <c r="Y168" i="25"/>
  <c r="X169" i="25"/>
  <c r="AE205" i="25"/>
  <c r="AF204" i="25"/>
  <c r="AH204" i="25" s="1"/>
  <c r="J62" i="25"/>
  <c r="K61" i="25"/>
  <c r="C61" i="25"/>
  <c r="D60" i="25"/>
  <c r="AE205" i="24"/>
  <c r="AF204" i="24"/>
  <c r="AH204" i="24" s="1"/>
  <c r="Y168" i="24"/>
  <c r="AA168" i="24" s="1"/>
  <c r="X169" i="24"/>
  <c r="D60" i="24"/>
  <c r="F60" i="24" s="1"/>
  <c r="C61" i="24"/>
  <c r="R72" i="24"/>
  <c r="Q73" i="24"/>
  <c r="K60" i="24"/>
  <c r="J61" i="24"/>
  <c r="C61" i="23"/>
  <c r="D60" i="23"/>
  <c r="R72" i="23"/>
  <c r="Q73" i="23"/>
  <c r="J61" i="23"/>
  <c r="K60" i="23"/>
  <c r="AF204" i="23"/>
  <c r="AH204" i="23" s="1"/>
  <c r="AE205" i="23"/>
  <c r="Y168" i="23"/>
  <c r="AA168" i="23" s="1"/>
  <c r="X169" i="23"/>
  <c r="E13" i="16"/>
  <c r="G10" i="16"/>
  <c r="AA11" i="16"/>
  <c r="F11" i="16"/>
  <c r="D12" i="16"/>
  <c r="V14" i="16"/>
  <c r="W14" i="16" s="1"/>
  <c r="U16" i="16"/>
  <c r="Q84" i="25" l="1"/>
  <c r="R83" i="25"/>
  <c r="T83" i="25" s="1"/>
  <c r="C62" i="26"/>
  <c r="D61" i="26"/>
  <c r="F61" i="26" s="1"/>
  <c r="AE206" i="26"/>
  <c r="AF205" i="26"/>
  <c r="AH205" i="26" s="1"/>
  <c r="J62" i="26"/>
  <c r="K61" i="26"/>
  <c r="M61" i="26" s="1"/>
  <c r="R85" i="26"/>
  <c r="Q86" i="26"/>
  <c r="AH204" i="26"/>
  <c r="X170" i="26"/>
  <c r="Y169" i="26"/>
  <c r="C62" i="25"/>
  <c r="D61" i="25"/>
  <c r="F61" i="25" s="1"/>
  <c r="AE206" i="25"/>
  <c r="AF205" i="25"/>
  <c r="AA168" i="25"/>
  <c r="X170" i="25"/>
  <c r="Y169" i="25"/>
  <c r="AA169" i="25" s="1"/>
  <c r="J63" i="25"/>
  <c r="K62" i="25"/>
  <c r="M62" i="25" s="1"/>
  <c r="F60" i="25"/>
  <c r="M61" i="25"/>
  <c r="T72" i="24"/>
  <c r="AE206" i="24"/>
  <c r="AF205" i="24"/>
  <c r="AH205" i="24" s="1"/>
  <c r="Y169" i="24"/>
  <c r="X170" i="24"/>
  <c r="R73" i="24"/>
  <c r="T73" i="24" s="1"/>
  <c r="Q74" i="24"/>
  <c r="M60" i="24"/>
  <c r="K61" i="24"/>
  <c r="M61" i="24" s="1"/>
  <c r="J62" i="24"/>
  <c r="D61" i="24"/>
  <c r="C62" i="24"/>
  <c r="C62" i="23"/>
  <c r="D61" i="23"/>
  <c r="F61" i="23" s="1"/>
  <c r="X170" i="23"/>
  <c r="Y169" i="23"/>
  <c r="AA169" i="23" s="1"/>
  <c r="M60" i="23"/>
  <c r="F60" i="23"/>
  <c r="J62" i="23"/>
  <c r="K61" i="23"/>
  <c r="M61" i="23" s="1"/>
  <c r="T72" i="23"/>
  <c r="AF205" i="23"/>
  <c r="AH205" i="23" s="1"/>
  <c r="AE206" i="23"/>
  <c r="Q74" i="23"/>
  <c r="R73" i="23"/>
  <c r="T73" i="23" s="1"/>
  <c r="G11" i="16"/>
  <c r="E14" i="16"/>
  <c r="AA12" i="16"/>
  <c r="F12" i="16"/>
  <c r="D13" i="16"/>
  <c r="V15" i="16"/>
  <c r="U17" i="16"/>
  <c r="W15" i="16" l="1"/>
  <c r="X15" i="16"/>
  <c r="R152" i="16" s="1"/>
  <c r="R84" i="25"/>
  <c r="T84" i="25" s="1"/>
  <c r="Q85" i="25"/>
  <c r="AA169" i="26"/>
  <c r="J63" i="26"/>
  <c r="K62" i="26"/>
  <c r="M62" i="26" s="1"/>
  <c r="C63" i="26"/>
  <c r="D62" i="26"/>
  <c r="T85" i="26"/>
  <c r="AE207" i="26"/>
  <c r="AF206" i="26"/>
  <c r="Y170" i="26"/>
  <c r="AA170" i="26" s="1"/>
  <c r="X171" i="26"/>
  <c r="Q87" i="26"/>
  <c r="R86" i="26"/>
  <c r="T86" i="26" s="1"/>
  <c r="J64" i="25"/>
  <c r="K63" i="25"/>
  <c r="C63" i="25"/>
  <c r="D62" i="25"/>
  <c r="F62" i="25" s="1"/>
  <c r="Y170" i="25"/>
  <c r="X171" i="25"/>
  <c r="AE207" i="25"/>
  <c r="AF206" i="25"/>
  <c r="AH206" i="25" s="1"/>
  <c r="AH205" i="25"/>
  <c r="F61" i="24"/>
  <c r="AA169" i="24"/>
  <c r="D62" i="24"/>
  <c r="F62" i="24" s="1"/>
  <c r="C63" i="24"/>
  <c r="AE207" i="24"/>
  <c r="AF206" i="24"/>
  <c r="Y170" i="24"/>
  <c r="AA170" i="24" s="1"/>
  <c r="X171" i="24"/>
  <c r="K62" i="24"/>
  <c r="J63" i="24"/>
  <c r="R74" i="24"/>
  <c r="Q75" i="24"/>
  <c r="J63" i="23"/>
  <c r="K62" i="23"/>
  <c r="C63" i="23"/>
  <c r="D62" i="23"/>
  <c r="F62" i="23" s="1"/>
  <c r="Y170" i="23"/>
  <c r="X171" i="23"/>
  <c r="AF206" i="23"/>
  <c r="AE207" i="23"/>
  <c r="R74" i="23"/>
  <c r="T74" i="23" s="1"/>
  <c r="Q75" i="23"/>
  <c r="G12" i="16"/>
  <c r="AA13" i="16"/>
  <c r="F13" i="16"/>
  <c r="D14" i="16"/>
  <c r="E15" i="16"/>
  <c r="V16" i="16"/>
  <c r="U18" i="16"/>
  <c r="W16" i="16" l="1"/>
  <c r="R85" i="25"/>
  <c r="T85" i="25" s="1"/>
  <c r="Q86" i="25"/>
  <c r="X172" i="26"/>
  <c r="Y171" i="26"/>
  <c r="AE208" i="26"/>
  <c r="AF207" i="26"/>
  <c r="AH207" i="26" s="1"/>
  <c r="C64" i="26"/>
  <c r="D63" i="26"/>
  <c r="F63" i="26" s="1"/>
  <c r="F62" i="26"/>
  <c r="AH206" i="26"/>
  <c r="J64" i="26"/>
  <c r="K63" i="26"/>
  <c r="R87" i="26"/>
  <c r="T87" i="26" s="1"/>
  <c r="Q88" i="26"/>
  <c r="AE208" i="25"/>
  <c r="AF207" i="25"/>
  <c r="J65" i="25"/>
  <c r="K64" i="25"/>
  <c r="M64" i="25" s="1"/>
  <c r="M63" i="25"/>
  <c r="AA170" i="25"/>
  <c r="C64" i="25"/>
  <c r="D63" i="25"/>
  <c r="X172" i="25"/>
  <c r="Y171" i="25"/>
  <c r="AA171" i="25" s="1"/>
  <c r="T74" i="24"/>
  <c r="R75" i="24"/>
  <c r="T75" i="24" s="1"/>
  <c r="Q76" i="24"/>
  <c r="Y171" i="24"/>
  <c r="AA171" i="24" s="1"/>
  <c r="X172" i="24"/>
  <c r="M62" i="24"/>
  <c r="AE208" i="24"/>
  <c r="AF207" i="24"/>
  <c r="AH207" i="24" s="1"/>
  <c r="D63" i="24"/>
  <c r="F63" i="24" s="1"/>
  <c r="C64" i="24"/>
  <c r="K63" i="24"/>
  <c r="M63" i="24" s="1"/>
  <c r="J64" i="24"/>
  <c r="AH206" i="24"/>
  <c r="J64" i="23"/>
  <c r="K63" i="23"/>
  <c r="M63" i="23" s="1"/>
  <c r="AA170" i="23"/>
  <c r="X172" i="23"/>
  <c r="Y171" i="23"/>
  <c r="AA171" i="23" s="1"/>
  <c r="Q76" i="23"/>
  <c r="R75" i="23"/>
  <c r="T75" i="23" s="1"/>
  <c r="C64" i="23"/>
  <c r="D63" i="23"/>
  <c r="AF207" i="23"/>
  <c r="AH207" i="23" s="1"/>
  <c r="AE208" i="23"/>
  <c r="M62" i="23"/>
  <c r="AH206" i="23"/>
  <c r="AA14" i="16"/>
  <c r="F14" i="16"/>
  <c r="D15" i="16"/>
  <c r="E16" i="16"/>
  <c r="G13" i="16"/>
  <c r="V17" i="16"/>
  <c r="W17" i="16" s="1"/>
  <c r="U19" i="16"/>
  <c r="R86" i="25" l="1"/>
  <c r="T86" i="25" s="1"/>
  <c r="Q87" i="25"/>
  <c r="C65" i="26"/>
  <c r="D64" i="26"/>
  <c r="F64" i="26" s="1"/>
  <c r="Y172" i="26"/>
  <c r="AA172" i="26" s="1"/>
  <c r="X173" i="26"/>
  <c r="Q89" i="26"/>
  <c r="R88" i="26"/>
  <c r="T88" i="26" s="1"/>
  <c r="AA171" i="26"/>
  <c r="J65" i="26"/>
  <c r="K64" i="26"/>
  <c r="M64" i="26" s="1"/>
  <c r="AE209" i="26"/>
  <c r="AF208" i="26"/>
  <c r="M63" i="26"/>
  <c r="Y172" i="25"/>
  <c r="AA172" i="25" s="1"/>
  <c r="X173" i="25"/>
  <c r="C65" i="25"/>
  <c r="D64" i="25"/>
  <c r="F64" i="25" s="1"/>
  <c r="AE209" i="25"/>
  <c r="AF208" i="25"/>
  <c r="AH208" i="25" s="1"/>
  <c r="F63" i="25"/>
  <c r="AH207" i="25"/>
  <c r="J66" i="25"/>
  <c r="K65" i="25"/>
  <c r="AE209" i="24"/>
  <c r="AF208" i="24"/>
  <c r="AH208" i="24" s="1"/>
  <c r="Y172" i="24"/>
  <c r="X173" i="24"/>
  <c r="K64" i="24"/>
  <c r="M64" i="24" s="1"/>
  <c r="J65" i="24"/>
  <c r="D64" i="24"/>
  <c r="C65" i="24"/>
  <c r="R76" i="24"/>
  <c r="Q77" i="24"/>
  <c r="C65" i="23"/>
  <c r="D64" i="23"/>
  <c r="F64" i="23" s="1"/>
  <c r="Y172" i="23"/>
  <c r="AA172" i="23" s="1"/>
  <c r="X173" i="23"/>
  <c r="J65" i="23"/>
  <c r="K64" i="23"/>
  <c r="F63" i="23"/>
  <c r="R76" i="23"/>
  <c r="Q77" i="23"/>
  <c r="AF208" i="23"/>
  <c r="AE209" i="23"/>
  <c r="AB16" i="16"/>
  <c r="E17" i="16"/>
  <c r="AA15" i="16"/>
  <c r="F15" i="16"/>
  <c r="D16" i="16"/>
  <c r="G14" i="16"/>
  <c r="V18" i="16"/>
  <c r="W18" i="16" s="1"/>
  <c r="U20" i="16"/>
  <c r="R87" i="25" l="1"/>
  <c r="T87" i="25" s="1"/>
  <c r="Q88" i="25"/>
  <c r="J66" i="26"/>
  <c r="K65" i="26"/>
  <c r="M65" i="26" s="1"/>
  <c r="R89" i="26"/>
  <c r="T89" i="26" s="1"/>
  <c r="Q90" i="26"/>
  <c r="C66" i="26"/>
  <c r="D65" i="26"/>
  <c r="F65" i="26" s="1"/>
  <c r="AE210" i="26"/>
  <c r="AF209" i="26"/>
  <c r="AH209" i="26" s="1"/>
  <c r="AH208" i="26"/>
  <c r="X174" i="26"/>
  <c r="Y173" i="26"/>
  <c r="J67" i="25"/>
  <c r="K66" i="25"/>
  <c r="M66" i="25" s="1"/>
  <c r="AE210" i="25"/>
  <c r="AF209" i="25"/>
  <c r="M65" i="25"/>
  <c r="X174" i="25"/>
  <c r="Y173" i="25"/>
  <c r="C66" i="25"/>
  <c r="D65" i="25"/>
  <c r="T76" i="24"/>
  <c r="AE210" i="24"/>
  <c r="AF209" i="24"/>
  <c r="AH209" i="24" s="1"/>
  <c r="K65" i="24"/>
  <c r="M65" i="24" s="1"/>
  <c r="J66" i="24"/>
  <c r="R77" i="24"/>
  <c r="T77" i="24" s="1"/>
  <c r="Q78" i="24"/>
  <c r="AA172" i="24"/>
  <c r="F64" i="24"/>
  <c r="D65" i="24"/>
  <c r="F65" i="24" s="1"/>
  <c r="C66" i="24"/>
  <c r="Y173" i="24"/>
  <c r="AA173" i="24" s="1"/>
  <c r="X174" i="24"/>
  <c r="C66" i="23"/>
  <c r="D65" i="23"/>
  <c r="F65" i="23" s="1"/>
  <c r="J66" i="23"/>
  <c r="K65" i="23"/>
  <c r="M65" i="23" s="1"/>
  <c r="Q78" i="23"/>
  <c r="R77" i="23"/>
  <c r="T77" i="23" s="1"/>
  <c r="T76" i="23"/>
  <c r="M64" i="23"/>
  <c r="AH208" i="23"/>
  <c r="AF209" i="23"/>
  <c r="AH209" i="23" s="1"/>
  <c r="AE210" i="23"/>
  <c r="X174" i="23"/>
  <c r="Y173" i="23"/>
  <c r="AA173" i="23" s="1"/>
  <c r="AA16" i="16"/>
  <c r="F16" i="16"/>
  <c r="G16" i="16" s="1"/>
  <c r="D17" i="16"/>
  <c r="E18" i="16"/>
  <c r="G15" i="16"/>
  <c r="V19" i="16"/>
  <c r="W19" i="16" s="1"/>
  <c r="U21" i="16"/>
  <c r="Q89" i="25" l="1"/>
  <c r="R88" i="25"/>
  <c r="T88" i="25" s="1"/>
  <c r="C67" i="26"/>
  <c r="D66" i="26"/>
  <c r="F66" i="26" s="1"/>
  <c r="J67" i="26"/>
  <c r="K66" i="26"/>
  <c r="M66" i="26" s="1"/>
  <c r="Y174" i="26"/>
  <c r="AA174" i="26" s="1"/>
  <c r="X175" i="26"/>
  <c r="AE211" i="26"/>
  <c r="AF210" i="26"/>
  <c r="AA173" i="26"/>
  <c r="Q91" i="26"/>
  <c r="R90" i="26"/>
  <c r="T90" i="26" s="1"/>
  <c r="C67" i="25"/>
  <c r="D66" i="25"/>
  <c r="F66" i="25" s="1"/>
  <c r="J68" i="25"/>
  <c r="K67" i="25"/>
  <c r="M67" i="25" s="1"/>
  <c r="Y174" i="25"/>
  <c r="AA174" i="25" s="1"/>
  <c r="X175" i="25"/>
  <c r="AE211" i="25"/>
  <c r="AF210" i="25"/>
  <c r="AH210" i="25" s="1"/>
  <c r="F65" i="25"/>
  <c r="AA173" i="25"/>
  <c r="AH209" i="25"/>
  <c r="D66" i="24"/>
  <c r="F66" i="24" s="1"/>
  <c r="C67" i="24"/>
  <c r="K66" i="24"/>
  <c r="M66" i="24" s="1"/>
  <c r="J67" i="24"/>
  <c r="AE211" i="24"/>
  <c r="AF210" i="24"/>
  <c r="AH210" i="24" s="1"/>
  <c r="Y174" i="24"/>
  <c r="AA174" i="24" s="1"/>
  <c r="X175" i="24"/>
  <c r="R78" i="24"/>
  <c r="Q79" i="24"/>
  <c r="R78" i="23"/>
  <c r="T78" i="23" s="1"/>
  <c r="Q79" i="23"/>
  <c r="C67" i="23"/>
  <c r="D66" i="23"/>
  <c r="F66" i="23" s="1"/>
  <c r="X175" i="23"/>
  <c r="Y174" i="23"/>
  <c r="AA174" i="23" s="1"/>
  <c r="J67" i="23"/>
  <c r="K66" i="23"/>
  <c r="AF210" i="23"/>
  <c r="AH210" i="23" s="1"/>
  <c r="AE211" i="23"/>
  <c r="E19" i="16"/>
  <c r="F17" i="16"/>
  <c r="G17" i="16" s="1"/>
  <c r="D18" i="16"/>
  <c r="V20" i="16"/>
  <c r="W20" i="16" s="1"/>
  <c r="U22" i="16"/>
  <c r="R89" i="25" l="1"/>
  <c r="T89" i="25" s="1"/>
  <c r="Q90" i="25"/>
  <c r="AH210" i="26"/>
  <c r="C68" i="26"/>
  <c r="D67" i="26"/>
  <c r="F67" i="26" s="1"/>
  <c r="X176" i="26"/>
  <c r="Y175" i="26"/>
  <c r="AA175" i="26" s="1"/>
  <c r="R91" i="26"/>
  <c r="T91" i="26" s="1"/>
  <c r="Q92" i="26"/>
  <c r="AE212" i="26"/>
  <c r="AF211" i="26"/>
  <c r="AH211" i="26" s="1"/>
  <c r="J68" i="26"/>
  <c r="K67" i="26"/>
  <c r="M67" i="26" s="1"/>
  <c r="C68" i="25"/>
  <c r="D67" i="25"/>
  <c r="F67" i="25" s="1"/>
  <c r="X176" i="25"/>
  <c r="Y175" i="25"/>
  <c r="AA175" i="25" s="1"/>
  <c r="AE212" i="25"/>
  <c r="AF211" i="25"/>
  <c r="AH211" i="25" s="1"/>
  <c r="K68" i="25"/>
  <c r="M68" i="25" s="1"/>
  <c r="J69" i="25"/>
  <c r="T78" i="24"/>
  <c r="AE212" i="24"/>
  <c r="AF211" i="24"/>
  <c r="AH211" i="24" s="1"/>
  <c r="R79" i="24"/>
  <c r="T79" i="24" s="1"/>
  <c r="Q80" i="24"/>
  <c r="D67" i="24"/>
  <c r="F67" i="24" s="1"/>
  <c r="C68" i="24"/>
  <c r="X176" i="24"/>
  <c r="Y175" i="24"/>
  <c r="AA175" i="24" s="1"/>
  <c r="K67" i="24"/>
  <c r="M67" i="24" s="1"/>
  <c r="J68" i="24"/>
  <c r="J68" i="23"/>
  <c r="K67" i="23"/>
  <c r="M67" i="23" s="1"/>
  <c r="X176" i="23"/>
  <c r="Y175" i="23"/>
  <c r="AA175" i="23" s="1"/>
  <c r="AF211" i="23"/>
  <c r="AH211" i="23" s="1"/>
  <c r="AE212" i="23"/>
  <c r="Q80" i="23"/>
  <c r="R79" i="23"/>
  <c r="T79" i="23" s="1"/>
  <c r="C68" i="23"/>
  <c r="D67" i="23"/>
  <c r="F67" i="23" s="1"/>
  <c r="M66" i="23"/>
  <c r="F18" i="16"/>
  <c r="G18" i="16" s="1"/>
  <c r="D19" i="16"/>
  <c r="E20" i="16"/>
  <c r="V21" i="16"/>
  <c r="W21" i="16" s="1"/>
  <c r="U23" i="16"/>
  <c r="R90" i="25" l="1"/>
  <c r="T90" i="25" s="1"/>
  <c r="Q91" i="25"/>
  <c r="Q93" i="26"/>
  <c r="R92" i="26"/>
  <c r="T92" i="26" s="1"/>
  <c r="AE213" i="26"/>
  <c r="AF212" i="26"/>
  <c r="AH212" i="26" s="1"/>
  <c r="Y176" i="26"/>
  <c r="AA176" i="26" s="1"/>
  <c r="X177" i="26"/>
  <c r="K68" i="26"/>
  <c r="M68" i="26" s="1"/>
  <c r="J69" i="26"/>
  <c r="E164" i="26"/>
  <c r="E162" i="26"/>
  <c r="E160" i="26"/>
  <c r="E158" i="26"/>
  <c r="E156" i="26"/>
  <c r="E153" i="26"/>
  <c r="E151" i="26"/>
  <c r="E149" i="26"/>
  <c r="E147" i="26"/>
  <c r="E145" i="26"/>
  <c r="E143" i="26"/>
  <c r="E142" i="26"/>
  <c r="E140" i="26"/>
  <c r="E138" i="26"/>
  <c r="E136" i="26"/>
  <c r="E134" i="26"/>
  <c r="E132" i="26"/>
  <c r="E130" i="26"/>
  <c r="E128" i="26"/>
  <c r="E126" i="26"/>
  <c r="E124" i="26"/>
  <c r="E122" i="26"/>
  <c r="E120" i="26"/>
  <c r="E118" i="26"/>
  <c r="E116" i="26"/>
  <c r="E114" i="26"/>
  <c r="E112" i="26"/>
  <c r="E110" i="26"/>
  <c r="E163" i="26"/>
  <c r="E161" i="26"/>
  <c r="E159" i="26"/>
  <c r="E157" i="26"/>
  <c r="E155" i="26"/>
  <c r="E154" i="26"/>
  <c r="E152" i="26"/>
  <c r="E150" i="26"/>
  <c r="E148" i="26"/>
  <c r="E146" i="26"/>
  <c r="E144" i="26"/>
  <c r="E141" i="26"/>
  <c r="E139" i="26"/>
  <c r="E137" i="26"/>
  <c r="E135" i="26"/>
  <c r="E133" i="26"/>
  <c r="E131" i="26"/>
  <c r="E129" i="26"/>
  <c r="E127" i="26"/>
  <c r="E125" i="26"/>
  <c r="E123" i="26"/>
  <c r="E121" i="26"/>
  <c r="E119" i="26"/>
  <c r="E117" i="26"/>
  <c r="E115" i="26"/>
  <c r="E113" i="26"/>
  <c r="E111" i="26"/>
  <c r="E109" i="26"/>
  <c r="E108" i="26"/>
  <c r="E106" i="26"/>
  <c r="E104" i="26"/>
  <c r="E102" i="26"/>
  <c r="E100" i="26"/>
  <c r="E98" i="26"/>
  <c r="E96" i="26"/>
  <c r="E94" i="26"/>
  <c r="E92" i="26"/>
  <c r="E90" i="26"/>
  <c r="E88" i="26"/>
  <c r="E86" i="26"/>
  <c r="E84" i="26"/>
  <c r="E82" i="26"/>
  <c r="E80" i="26"/>
  <c r="E78" i="26"/>
  <c r="E76" i="26"/>
  <c r="E74" i="26"/>
  <c r="E72" i="26"/>
  <c r="E70" i="26"/>
  <c r="D68" i="26"/>
  <c r="E107" i="26"/>
  <c r="E105" i="26"/>
  <c r="E103" i="26"/>
  <c r="E101" i="26"/>
  <c r="E99" i="26"/>
  <c r="E97" i="26"/>
  <c r="E95" i="26"/>
  <c r="E93" i="26"/>
  <c r="E91" i="26"/>
  <c r="E89" i="26"/>
  <c r="E87" i="26"/>
  <c r="E85" i="26"/>
  <c r="E83" i="26"/>
  <c r="E81" i="26"/>
  <c r="E79" i="26"/>
  <c r="E77" i="26"/>
  <c r="E75" i="26"/>
  <c r="E73" i="26"/>
  <c r="E71" i="26"/>
  <c r="E68" i="26"/>
  <c r="E69" i="26"/>
  <c r="AE213" i="25"/>
  <c r="AF212" i="25"/>
  <c r="AH212" i="25" s="1"/>
  <c r="C69" i="25"/>
  <c r="D68" i="25"/>
  <c r="F68" i="25" s="1"/>
  <c r="Y176" i="25"/>
  <c r="AA176" i="25" s="1"/>
  <c r="X177" i="25"/>
  <c r="J70" i="25"/>
  <c r="K69" i="25"/>
  <c r="Y176" i="24"/>
  <c r="AA176" i="24" s="1"/>
  <c r="X177" i="24"/>
  <c r="AE213" i="24"/>
  <c r="AF212" i="24"/>
  <c r="AH212" i="24" s="1"/>
  <c r="R80" i="24"/>
  <c r="T80" i="24" s="1"/>
  <c r="Q81" i="24"/>
  <c r="J69" i="24"/>
  <c r="K68" i="24"/>
  <c r="M68" i="24" s="1"/>
  <c r="E163" i="24"/>
  <c r="E161" i="24"/>
  <c r="E159" i="24"/>
  <c r="E157" i="24"/>
  <c r="E155" i="24"/>
  <c r="E154" i="24"/>
  <c r="E152" i="24"/>
  <c r="E150" i="24"/>
  <c r="E148" i="24"/>
  <c r="E146" i="24"/>
  <c r="E144" i="24"/>
  <c r="E141" i="24"/>
  <c r="E139" i="24"/>
  <c r="E137" i="24"/>
  <c r="E135" i="24"/>
  <c r="E133" i="24"/>
  <c r="E131" i="24"/>
  <c r="E129" i="24"/>
  <c r="E127" i="24"/>
  <c r="E125" i="24"/>
  <c r="E123" i="24"/>
  <c r="E121" i="24"/>
  <c r="E119" i="24"/>
  <c r="E117" i="24"/>
  <c r="E164" i="24"/>
  <c r="E162" i="24"/>
  <c r="E160" i="24"/>
  <c r="E158" i="24"/>
  <c r="E156" i="24"/>
  <c r="E153" i="24"/>
  <c r="E151" i="24"/>
  <c r="E149" i="24"/>
  <c r="E147" i="24"/>
  <c r="E145" i="24"/>
  <c r="E143" i="24"/>
  <c r="E142" i="24"/>
  <c r="E140" i="24"/>
  <c r="E138" i="24"/>
  <c r="E136" i="24"/>
  <c r="E134" i="24"/>
  <c r="E132" i="24"/>
  <c r="E130" i="24"/>
  <c r="E128" i="24"/>
  <c r="E126" i="24"/>
  <c r="E124" i="24"/>
  <c r="E122" i="24"/>
  <c r="E120" i="24"/>
  <c r="E118" i="24"/>
  <c r="E116" i="24"/>
  <c r="E114" i="24"/>
  <c r="E112" i="24"/>
  <c r="E110" i="24"/>
  <c r="E108" i="24"/>
  <c r="E106" i="24"/>
  <c r="E104" i="24"/>
  <c r="E102" i="24"/>
  <c r="E105" i="24"/>
  <c r="E103" i="24"/>
  <c r="D68" i="24"/>
  <c r="E100" i="24"/>
  <c r="E98" i="24"/>
  <c r="E96" i="24"/>
  <c r="E94" i="24"/>
  <c r="E92" i="24"/>
  <c r="E90" i="24"/>
  <c r="E88" i="24"/>
  <c r="E86" i="24"/>
  <c r="E84" i="24"/>
  <c r="E82" i="24"/>
  <c r="E80" i="24"/>
  <c r="E78" i="24"/>
  <c r="E76" i="24"/>
  <c r="E74" i="24"/>
  <c r="E72" i="24"/>
  <c r="E70" i="24"/>
  <c r="E69" i="24"/>
  <c r="E68" i="24"/>
  <c r="E115" i="24"/>
  <c r="E113" i="24"/>
  <c r="E111" i="24"/>
  <c r="E109" i="24"/>
  <c r="E107" i="24"/>
  <c r="E101" i="24"/>
  <c r="E99" i="24"/>
  <c r="E97" i="24"/>
  <c r="E95" i="24"/>
  <c r="E93" i="24"/>
  <c r="E91" i="24"/>
  <c r="E89" i="24"/>
  <c r="E87" i="24"/>
  <c r="E85" i="24"/>
  <c r="E83" i="24"/>
  <c r="E81" i="24"/>
  <c r="E79" i="24"/>
  <c r="E77" i="24"/>
  <c r="E75" i="24"/>
  <c r="E73" i="24"/>
  <c r="E71" i="24"/>
  <c r="C69" i="24"/>
  <c r="J69" i="23"/>
  <c r="K68" i="23"/>
  <c r="M68" i="23" s="1"/>
  <c r="Q81" i="23"/>
  <c r="R80" i="23"/>
  <c r="T80" i="23" s="1"/>
  <c r="Y176" i="23"/>
  <c r="AA176" i="23" s="1"/>
  <c r="X177" i="23"/>
  <c r="E163" i="23"/>
  <c r="E161" i="23"/>
  <c r="E159" i="23"/>
  <c r="E157" i="23"/>
  <c r="E155" i="23"/>
  <c r="E154" i="23"/>
  <c r="E152" i="23"/>
  <c r="E150" i="23"/>
  <c r="E148" i="23"/>
  <c r="E146" i="23"/>
  <c r="E144" i="23"/>
  <c r="E141" i="23"/>
  <c r="E139" i="23"/>
  <c r="E137" i="23"/>
  <c r="E135" i="23"/>
  <c r="E133" i="23"/>
  <c r="E131" i="23"/>
  <c r="E129" i="23"/>
  <c r="E127" i="23"/>
  <c r="E164" i="23"/>
  <c r="E162" i="23"/>
  <c r="E160" i="23"/>
  <c r="E158" i="23"/>
  <c r="E156" i="23"/>
  <c r="E153" i="23"/>
  <c r="E151" i="23"/>
  <c r="E149" i="23"/>
  <c r="E147" i="23"/>
  <c r="E145" i="23"/>
  <c r="E143" i="23"/>
  <c r="E142" i="23"/>
  <c r="E140" i="23"/>
  <c r="E138" i="23"/>
  <c r="E136" i="23"/>
  <c r="E134" i="23"/>
  <c r="E132" i="23"/>
  <c r="E130" i="23"/>
  <c r="E128" i="23"/>
  <c r="E126" i="23"/>
  <c r="E124" i="23"/>
  <c r="E122" i="23"/>
  <c r="E120" i="23"/>
  <c r="E118" i="23"/>
  <c r="E116" i="23"/>
  <c r="E114" i="23"/>
  <c r="E112" i="23"/>
  <c r="E110" i="23"/>
  <c r="E108" i="23"/>
  <c r="E117" i="23"/>
  <c r="E115" i="23"/>
  <c r="E113" i="23"/>
  <c r="E111" i="23"/>
  <c r="E109" i="23"/>
  <c r="E107" i="23"/>
  <c r="E105" i="23"/>
  <c r="E103" i="23"/>
  <c r="E101" i="23"/>
  <c r="E99" i="23"/>
  <c r="E97" i="23"/>
  <c r="E95" i="23"/>
  <c r="E93" i="23"/>
  <c r="E91" i="23"/>
  <c r="E89" i="23"/>
  <c r="E87" i="23"/>
  <c r="E85" i="23"/>
  <c r="E83" i="23"/>
  <c r="E81" i="23"/>
  <c r="E79" i="23"/>
  <c r="E77" i="23"/>
  <c r="E75" i="23"/>
  <c r="E73" i="23"/>
  <c r="E71" i="23"/>
  <c r="D68" i="23"/>
  <c r="E106" i="23"/>
  <c r="E104" i="23"/>
  <c r="E102" i="23"/>
  <c r="E100" i="23"/>
  <c r="E98" i="23"/>
  <c r="E96" i="23"/>
  <c r="E94" i="23"/>
  <c r="E92" i="23"/>
  <c r="E90" i="23"/>
  <c r="E88" i="23"/>
  <c r="E86" i="23"/>
  <c r="E84" i="23"/>
  <c r="E82" i="23"/>
  <c r="E80" i="23"/>
  <c r="E78" i="23"/>
  <c r="E76" i="23"/>
  <c r="E74" i="23"/>
  <c r="E72" i="23"/>
  <c r="E70" i="23"/>
  <c r="E69" i="23"/>
  <c r="E68" i="23"/>
  <c r="E125" i="23"/>
  <c r="E123" i="23"/>
  <c r="E121" i="23"/>
  <c r="E119" i="23"/>
  <c r="AE213" i="23"/>
  <c r="AF212" i="23"/>
  <c r="AH212" i="23" s="1"/>
  <c r="E21" i="16"/>
  <c r="F19" i="16"/>
  <c r="G19" i="16" s="1"/>
  <c r="D20" i="16"/>
  <c r="V22" i="16"/>
  <c r="W22" i="16" s="1"/>
  <c r="U24" i="16"/>
  <c r="R91" i="25" l="1"/>
  <c r="T91" i="25" s="1"/>
  <c r="Q92" i="25"/>
  <c r="E336" i="23"/>
  <c r="E336" i="26"/>
  <c r="Q94" i="26"/>
  <c r="R93" i="26"/>
  <c r="C69" i="26"/>
  <c r="Y177" i="26"/>
  <c r="X178" i="26"/>
  <c r="F68" i="26"/>
  <c r="AF213" i="26"/>
  <c r="AE214" i="26"/>
  <c r="J70" i="26"/>
  <c r="K69" i="26"/>
  <c r="J71" i="25"/>
  <c r="K70" i="25"/>
  <c r="AF213" i="25"/>
  <c r="AE214" i="25"/>
  <c r="M69" i="25"/>
  <c r="N69" i="25"/>
  <c r="Y177" i="25"/>
  <c r="X178" i="25"/>
  <c r="C70" i="25"/>
  <c r="D69" i="25"/>
  <c r="E336" i="24"/>
  <c r="R81" i="24"/>
  <c r="Q82" i="24"/>
  <c r="X178" i="24"/>
  <c r="Y177" i="24"/>
  <c r="D69" i="24"/>
  <c r="C70" i="24"/>
  <c r="J70" i="24"/>
  <c r="K69" i="24"/>
  <c r="AE214" i="24"/>
  <c r="AF213" i="24"/>
  <c r="F68" i="24"/>
  <c r="J70" i="23"/>
  <c r="K69" i="23"/>
  <c r="X178" i="23"/>
  <c r="Y177" i="23"/>
  <c r="R81" i="23"/>
  <c r="Q82" i="23"/>
  <c r="C69" i="23"/>
  <c r="AF213" i="23"/>
  <c r="AE214" i="23"/>
  <c r="F68" i="23"/>
  <c r="F20" i="16"/>
  <c r="G20" i="16" s="1"/>
  <c r="D21" i="16"/>
  <c r="E22" i="16"/>
  <c r="V23" i="16"/>
  <c r="W23" i="16" s="1"/>
  <c r="U25" i="16"/>
  <c r="R92" i="25" l="1"/>
  <c r="T92" i="25" s="1"/>
  <c r="Q93" i="25"/>
  <c r="AE215" i="26"/>
  <c r="AF214" i="26"/>
  <c r="AA177" i="26"/>
  <c r="AB177" i="26"/>
  <c r="J71" i="26"/>
  <c r="K70" i="26"/>
  <c r="X179" i="26"/>
  <c r="Y178" i="26"/>
  <c r="Q95" i="26"/>
  <c r="R94" i="26"/>
  <c r="M69" i="26"/>
  <c r="N69" i="26"/>
  <c r="T93" i="26"/>
  <c r="U93" i="26"/>
  <c r="AH213" i="26"/>
  <c r="AI213" i="26"/>
  <c r="C70" i="26"/>
  <c r="D69" i="26"/>
  <c r="D70" i="25"/>
  <c r="C71" i="25"/>
  <c r="K71" i="25"/>
  <c r="M71" i="25" s="1"/>
  <c r="J72" i="25"/>
  <c r="H347" i="25"/>
  <c r="AH213" i="25"/>
  <c r="AI213" i="25"/>
  <c r="F69" i="25"/>
  <c r="G69" i="25"/>
  <c r="M70" i="25"/>
  <c r="AA177" i="25"/>
  <c r="AB177" i="25"/>
  <c r="X179" i="25"/>
  <c r="Y178" i="25"/>
  <c r="AE215" i="25"/>
  <c r="AF214" i="25"/>
  <c r="F69" i="24"/>
  <c r="G69" i="24"/>
  <c r="AA177" i="24"/>
  <c r="AB177" i="24"/>
  <c r="D70" i="24"/>
  <c r="C71" i="24"/>
  <c r="M69" i="24"/>
  <c r="N69" i="24"/>
  <c r="AE215" i="24"/>
  <c r="AF214" i="24"/>
  <c r="T81" i="24"/>
  <c r="U81" i="24"/>
  <c r="AH213" i="24"/>
  <c r="AI213" i="24"/>
  <c r="Q83" i="24"/>
  <c r="R82" i="24"/>
  <c r="J71" i="24"/>
  <c r="K70" i="24"/>
  <c r="X179" i="24"/>
  <c r="Y178" i="24"/>
  <c r="J71" i="23"/>
  <c r="K70" i="23"/>
  <c r="T81" i="23"/>
  <c r="U81" i="23"/>
  <c r="C70" i="23"/>
  <c r="D69" i="23"/>
  <c r="AF214" i="23"/>
  <c r="AE215" i="23"/>
  <c r="Q83" i="23"/>
  <c r="R82" i="23"/>
  <c r="M69" i="23"/>
  <c r="N69" i="23"/>
  <c r="X179" i="23"/>
  <c r="Y178" i="23"/>
  <c r="AH213" i="23"/>
  <c r="AI213" i="23"/>
  <c r="AA177" i="23"/>
  <c r="AB177" i="23"/>
  <c r="E23" i="16"/>
  <c r="F21" i="16"/>
  <c r="G21" i="16" s="1"/>
  <c r="D22" i="16"/>
  <c r="V24" i="16"/>
  <c r="W24" i="16" s="1"/>
  <c r="U26" i="16"/>
  <c r="R93" i="25" l="1"/>
  <c r="Q94" i="25"/>
  <c r="AA178" i="26"/>
  <c r="C71" i="26"/>
  <c r="D70" i="26"/>
  <c r="R95" i="26"/>
  <c r="T95" i="26" s="1"/>
  <c r="Q96" i="26"/>
  <c r="K71" i="26"/>
  <c r="M71" i="26" s="1"/>
  <c r="J72" i="26"/>
  <c r="AE216" i="26"/>
  <c r="AF215" i="26"/>
  <c r="AH215" i="26" s="1"/>
  <c r="H347" i="26"/>
  <c r="F69" i="26"/>
  <c r="G69" i="26"/>
  <c r="T94" i="26"/>
  <c r="M70" i="26"/>
  <c r="AH214" i="26"/>
  <c r="Y179" i="26"/>
  <c r="AA179" i="26" s="1"/>
  <c r="X180" i="26"/>
  <c r="AA178" i="25"/>
  <c r="AE216" i="25"/>
  <c r="AF215" i="25"/>
  <c r="AH215" i="25" s="1"/>
  <c r="F70" i="25"/>
  <c r="D71" i="25"/>
  <c r="F71" i="25" s="1"/>
  <c r="C72" i="25"/>
  <c r="AH214" i="25"/>
  <c r="Y179" i="25"/>
  <c r="AA179" i="25" s="1"/>
  <c r="X180" i="25"/>
  <c r="H346" i="25"/>
  <c r="AK69" i="25"/>
  <c r="K72" i="25"/>
  <c r="J73" i="25"/>
  <c r="AA178" i="24"/>
  <c r="T82" i="24"/>
  <c r="K71" i="24"/>
  <c r="M71" i="24" s="1"/>
  <c r="J72" i="24"/>
  <c r="AE216" i="24"/>
  <c r="AF215" i="24"/>
  <c r="AH215" i="24" s="1"/>
  <c r="F70" i="24"/>
  <c r="H346" i="24"/>
  <c r="AK69" i="24"/>
  <c r="M70" i="24"/>
  <c r="AH214" i="24"/>
  <c r="D71" i="24"/>
  <c r="F71" i="24" s="1"/>
  <c r="C72" i="24"/>
  <c r="Y179" i="24"/>
  <c r="AA179" i="24" s="1"/>
  <c r="X180" i="24"/>
  <c r="R83" i="24"/>
  <c r="T83" i="24" s="1"/>
  <c r="Q84" i="24"/>
  <c r="H347" i="24"/>
  <c r="X180" i="23"/>
  <c r="Y179" i="23"/>
  <c r="AA179" i="23" s="1"/>
  <c r="Q84" i="23"/>
  <c r="R83" i="23"/>
  <c r="T83" i="23" s="1"/>
  <c r="D70" i="23"/>
  <c r="C71" i="23"/>
  <c r="J72" i="23"/>
  <c r="K71" i="23"/>
  <c r="M71" i="23" s="1"/>
  <c r="F69" i="23"/>
  <c r="G69" i="23"/>
  <c r="AA178" i="23"/>
  <c r="T82" i="23"/>
  <c r="AH214" i="23"/>
  <c r="M70" i="23"/>
  <c r="H347" i="23"/>
  <c r="AF215" i="23"/>
  <c r="AH215" i="23" s="1"/>
  <c r="AE216" i="23"/>
  <c r="F22" i="16"/>
  <c r="G22" i="16" s="1"/>
  <c r="D23" i="16"/>
  <c r="E24" i="16"/>
  <c r="V25" i="16"/>
  <c r="W25" i="16" s="1"/>
  <c r="U27" i="16"/>
  <c r="Q95" i="25" l="1"/>
  <c r="R94" i="25"/>
  <c r="T94" i="25" s="1"/>
  <c r="T93" i="25"/>
  <c r="U93" i="25"/>
  <c r="AE217" i="26"/>
  <c r="AF216" i="26"/>
  <c r="Q97" i="26"/>
  <c r="R96" i="26"/>
  <c r="T96" i="26" s="1"/>
  <c r="X181" i="26"/>
  <c r="Y180" i="26"/>
  <c r="H346" i="26"/>
  <c r="AK69" i="26"/>
  <c r="D71" i="26"/>
  <c r="F71" i="26" s="1"/>
  <c r="C72" i="26"/>
  <c r="J73" i="26"/>
  <c r="K72" i="26"/>
  <c r="F70" i="26"/>
  <c r="M72" i="25"/>
  <c r="X181" i="25"/>
  <c r="Y180" i="25"/>
  <c r="AA180" i="25" s="1"/>
  <c r="K73" i="25"/>
  <c r="M73" i="25" s="1"/>
  <c r="J74" i="25"/>
  <c r="D72" i="25"/>
  <c r="F72" i="25" s="1"/>
  <c r="C73" i="25"/>
  <c r="AE217" i="25"/>
  <c r="AF216" i="25"/>
  <c r="X181" i="24"/>
  <c r="Y180" i="24"/>
  <c r="AA180" i="24" s="1"/>
  <c r="K72" i="24"/>
  <c r="M72" i="24" s="1"/>
  <c r="J73" i="24"/>
  <c r="AE217" i="24"/>
  <c r="AF216" i="24"/>
  <c r="R84" i="24"/>
  <c r="T84" i="24" s="1"/>
  <c r="Q85" i="24"/>
  <c r="D72" i="24"/>
  <c r="C73" i="24"/>
  <c r="F70" i="23"/>
  <c r="X181" i="23"/>
  <c r="Y180" i="23"/>
  <c r="AA180" i="23" s="1"/>
  <c r="C72" i="23"/>
  <c r="D71" i="23"/>
  <c r="F71" i="23" s="1"/>
  <c r="AF216" i="23"/>
  <c r="AH216" i="23" s="1"/>
  <c r="AE217" i="23"/>
  <c r="H346" i="23"/>
  <c r="AK69" i="23"/>
  <c r="K72" i="23"/>
  <c r="J73" i="23"/>
  <c r="R84" i="23"/>
  <c r="Q85" i="23"/>
  <c r="E25" i="16"/>
  <c r="F23" i="16"/>
  <c r="G23" i="16" s="1"/>
  <c r="D24" i="16"/>
  <c r="V26" i="16"/>
  <c r="W26" i="16" s="1"/>
  <c r="R95" i="25" l="1"/>
  <c r="T95" i="25" s="1"/>
  <c r="Q96" i="25"/>
  <c r="M72" i="26"/>
  <c r="X182" i="26"/>
  <c r="Y181" i="26"/>
  <c r="AA181" i="26" s="1"/>
  <c r="AA180" i="26"/>
  <c r="C73" i="26"/>
  <c r="D72" i="26"/>
  <c r="R97" i="26"/>
  <c r="Q98" i="26"/>
  <c r="AE218" i="26"/>
  <c r="AF217" i="26"/>
  <c r="AH217" i="26" s="1"/>
  <c r="AH216" i="26"/>
  <c r="K73" i="26"/>
  <c r="M73" i="26" s="1"/>
  <c r="J74" i="26"/>
  <c r="D73" i="25"/>
  <c r="C74" i="25"/>
  <c r="K74" i="25"/>
  <c r="M74" i="25" s="1"/>
  <c r="J75" i="25"/>
  <c r="AE218" i="25"/>
  <c r="AF217" i="25"/>
  <c r="AH217" i="25" s="1"/>
  <c r="AH216" i="25"/>
  <c r="X182" i="25"/>
  <c r="Y181" i="25"/>
  <c r="AA181" i="25" s="1"/>
  <c r="R85" i="24"/>
  <c r="Q86" i="24"/>
  <c r="AE218" i="24"/>
  <c r="AF217" i="24"/>
  <c r="AH217" i="24" s="1"/>
  <c r="X182" i="24"/>
  <c r="Y181" i="24"/>
  <c r="AA181" i="24" s="1"/>
  <c r="F72" i="24"/>
  <c r="AH216" i="24"/>
  <c r="K73" i="24"/>
  <c r="M73" i="24" s="1"/>
  <c r="J74" i="24"/>
  <c r="D73" i="24"/>
  <c r="F73" i="24" s="1"/>
  <c r="C74" i="24"/>
  <c r="J74" i="23"/>
  <c r="K73" i="23"/>
  <c r="M73" i="23" s="1"/>
  <c r="D72" i="23"/>
  <c r="F72" i="23" s="1"/>
  <c r="C73" i="23"/>
  <c r="Y181" i="23"/>
  <c r="X182" i="23"/>
  <c r="T84" i="23"/>
  <c r="Q86" i="23"/>
  <c r="R85" i="23"/>
  <c r="T85" i="23" s="1"/>
  <c r="M72" i="23"/>
  <c r="AF217" i="23"/>
  <c r="AE218" i="23"/>
  <c r="F24" i="16"/>
  <c r="G24" i="16" s="1"/>
  <c r="D25" i="16"/>
  <c r="V27" i="16"/>
  <c r="U29" i="16"/>
  <c r="W27" i="16" l="1"/>
  <c r="X27" i="16"/>
  <c r="R96" i="25"/>
  <c r="T96" i="25" s="1"/>
  <c r="Q97" i="25"/>
  <c r="AE219" i="26"/>
  <c r="AF218" i="26"/>
  <c r="AH218" i="26" s="1"/>
  <c r="T97" i="26"/>
  <c r="D73" i="26"/>
  <c r="F73" i="26" s="1"/>
  <c r="C74" i="26"/>
  <c r="X183" i="26"/>
  <c r="Y182" i="26"/>
  <c r="J75" i="26"/>
  <c r="K74" i="26"/>
  <c r="M74" i="26" s="1"/>
  <c r="Q99" i="26"/>
  <c r="R98" i="26"/>
  <c r="T98" i="26" s="1"/>
  <c r="F72" i="26"/>
  <c r="F73" i="25"/>
  <c r="AE219" i="25"/>
  <c r="AF218" i="25"/>
  <c r="D74" i="25"/>
  <c r="F74" i="25" s="1"/>
  <c r="C75" i="25"/>
  <c r="X183" i="25"/>
  <c r="Y182" i="25"/>
  <c r="K75" i="25"/>
  <c r="J76" i="25"/>
  <c r="X183" i="24"/>
  <c r="Y182" i="24"/>
  <c r="AA182" i="24" s="1"/>
  <c r="T85" i="24"/>
  <c r="R86" i="24"/>
  <c r="T86" i="24" s="1"/>
  <c r="Q87" i="24"/>
  <c r="AE219" i="24"/>
  <c r="AF218" i="24"/>
  <c r="D74" i="24"/>
  <c r="F74" i="24" s="1"/>
  <c r="C75" i="24"/>
  <c r="K74" i="24"/>
  <c r="J75" i="24"/>
  <c r="X183" i="23"/>
  <c r="Y182" i="23"/>
  <c r="AA182" i="23" s="1"/>
  <c r="K74" i="23"/>
  <c r="M74" i="23" s="1"/>
  <c r="J75" i="23"/>
  <c r="AF218" i="23"/>
  <c r="AH218" i="23" s="1"/>
  <c r="AE219" i="23"/>
  <c r="C74" i="23"/>
  <c r="D73" i="23"/>
  <c r="F73" i="23" s="1"/>
  <c r="AH217" i="23"/>
  <c r="R86" i="23"/>
  <c r="T86" i="23" s="1"/>
  <c r="Q87" i="23"/>
  <c r="AA181" i="23"/>
  <c r="F25" i="16"/>
  <c r="G25" i="16" s="1"/>
  <c r="D26" i="16"/>
  <c r="T29" i="16"/>
  <c r="V28" i="16"/>
  <c r="U30" i="16"/>
  <c r="Q98" i="25" l="1"/>
  <c r="R97" i="25"/>
  <c r="T97" i="25" s="1"/>
  <c r="K75" i="26"/>
  <c r="M75" i="26" s="1"/>
  <c r="J76" i="26"/>
  <c r="AE220" i="26"/>
  <c r="AF219" i="26"/>
  <c r="AH219" i="26" s="1"/>
  <c r="C75" i="26"/>
  <c r="D74" i="26"/>
  <c r="F74" i="26" s="1"/>
  <c r="R99" i="26"/>
  <c r="T99" i="26" s="1"/>
  <c r="Q100" i="26"/>
  <c r="X184" i="26"/>
  <c r="Y183" i="26"/>
  <c r="AA183" i="26" s="1"/>
  <c r="AA182" i="26"/>
  <c r="X184" i="25"/>
  <c r="Y183" i="25"/>
  <c r="AA183" i="25" s="1"/>
  <c r="AA182" i="25"/>
  <c r="M75" i="25"/>
  <c r="AE220" i="25"/>
  <c r="AF219" i="25"/>
  <c r="AH219" i="25" s="1"/>
  <c r="K76" i="25"/>
  <c r="M76" i="25" s="1"/>
  <c r="J77" i="25"/>
  <c r="D75" i="25"/>
  <c r="C76" i="25"/>
  <c r="AH218" i="25"/>
  <c r="Y183" i="24"/>
  <c r="X184" i="24"/>
  <c r="D75" i="24"/>
  <c r="F75" i="24" s="1"/>
  <c r="C76" i="24"/>
  <c r="R87" i="24"/>
  <c r="T87" i="24" s="1"/>
  <c r="Q88" i="24"/>
  <c r="AE220" i="24"/>
  <c r="AF219" i="24"/>
  <c r="AH219" i="24" s="1"/>
  <c r="M74" i="24"/>
  <c r="K75" i="24"/>
  <c r="M75" i="24" s="1"/>
  <c r="J76" i="24"/>
  <c r="AH218" i="24"/>
  <c r="X184" i="23"/>
  <c r="Y183" i="23"/>
  <c r="AA183" i="23" s="1"/>
  <c r="AF219" i="23"/>
  <c r="AH219" i="23" s="1"/>
  <c r="AE220" i="23"/>
  <c r="Q88" i="23"/>
  <c r="R87" i="23"/>
  <c r="D74" i="23"/>
  <c r="C75" i="23"/>
  <c r="J76" i="23"/>
  <c r="K75" i="23"/>
  <c r="M75" i="23" s="1"/>
  <c r="W28" i="16"/>
  <c r="F26" i="16"/>
  <c r="E26" i="16"/>
  <c r="T30" i="16"/>
  <c r="V29" i="16"/>
  <c r="W29" i="16" s="1"/>
  <c r="U31" i="16"/>
  <c r="Q99" i="25" l="1"/>
  <c r="R98" i="25"/>
  <c r="T98" i="25" s="1"/>
  <c r="X185" i="26"/>
  <c r="Y184" i="26"/>
  <c r="D75" i="26"/>
  <c r="F75" i="26" s="1"/>
  <c r="C76" i="26"/>
  <c r="AE221" i="26"/>
  <c r="AF220" i="26"/>
  <c r="J77" i="26"/>
  <c r="K76" i="26"/>
  <c r="M76" i="26" s="1"/>
  <c r="Q101" i="26"/>
  <c r="R100" i="26"/>
  <c r="T100" i="26" s="1"/>
  <c r="X185" i="25"/>
  <c r="Y184" i="25"/>
  <c r="K77" i="25"/>
  <c r="J78" i="25"/>
  <c r="AE221" i="25"/>
  <c r="AF220" i="25"/>
  <c r="F75" i="25"/>
  <c r="D76" i="25"/>
  <c r="F76" i="25" s="1"/>
  <c r="C77" i="25"/>
  <c r="AA183" i="24"/>
  <c r="R88" i="24"/>
  <c r="T88" i="24" s="1"/>
  <c r="Q89" i="24"/>
  <c r="AE221" i="24"/>
  <c r="AF220" i="24"/>
  <c r="Y184" i="24"/>
  <c r="AA184" i="24" s="1"/>
  <c r="X185" i="24"/>
  <c r="K76" i="24"/>
  <c r="J77" i="24"/>
  <c r="D76" i="24"/>
  <c r="C77" i="24"/>
  <c r="C76" i="23"/>
  <c r="D75" i="23"/>
  <c r="F75" i="23" s="1"/>
  <c r="R88" i="23"/>
  <c r="T88" i="23" s="1"/>
  <c r="Q89" i="23"/>
  <c r="K76" i="23"/>
  <c r="J77" i="23"/>
  <c r="X185" i="23"/>
  <c r="Y184" i="23"/>
  <c r="AA184" i="23" s="1"/>
  <c r="T87" i="23"/>
  <c r="F74" i="23"/>
  <c r="AF220" i="23"/>
  <c r="AE221" i="23"/>
  <c r="T31" i="16"/>
  <c r="V30" i="16"/>
  <c r="U32" i="16"/>
  <c r="R99" i="25" l="1"/>
  <c r="T99" i="25" s="1"/>
  <c r="Q100" i="25"/>
  <c r="AE222" i="26"/>
  <c r="AF221" i="26"/>
  <c r="AH221" i="26" s="1"/>
  <c r="AH220" i="26"/>
  <c r="X186" i="26"/>
  <c r="Y185" i="26"/>
  <c r="AA185" i="26" s="1"/>
  <c r="R101" i="26"/>
  <c r="T101" i="26" s="1"/>
  <c r="Q102" i="26"/>
  <c r="AA184" i="26"/>
  <c r="K77" i="26"/>
  <c r="M77" i="26" s="1"/>
  <c r="J78" i="26"/>
  <c r="C77" i="26"/>
  <c r="D76" i="26"/>
  <c r="AE222" i="25"/>
  <c r="AF221" i="25"/>
  <c r="AH221" i="25" s="1"/>
  <c r="X186" i="25"/>
  <c r="Y185" i="25"/>
  <c r="AA185" i="25" s="1"/>
  <c r="AA184" i="25"/>
  <c r="D77" i="25"/>
  <c r="F77" i="25" s="1"/>
  <c r="C78" i="25"/>
  <c r="M77" i="25"/>
  <c r="AH220" i="25"/>
  <c r="K78" i="25"/>
  <c r="M78" i="25" s="1"/>
  <c r="J79" i="25"/>
  <c r="M76" i="24"/>
  <c r="AE222" i="24"/>
  <c r="AF221" i="24"/>
  <c r="AH221" i="24" s="1"/>
  <c r="K77" i="24"/>
  <c r="M77" i="24" s="1"/>
  <c r="J78" i="24"/>
  <c r="AH220" i="24"/>
  <c r="F76" i="24"/>
  <c r="D77" i="24"/>
  <c r="F77" i="24" s="1"/>
  <c r="C78" i="24"/>
  <c r="X186" i="24"/>
  <c r="Y185" i="24"/>
  <c r="AA185" i="24" s="1"/>
  <c r="R89" i="24"/>
  <c r="T89" i="24" s="1"/>
  <c r="Q90" i="24"/>
  <c r="AH220" i="23"/>
  <c r="M76" i="23"/>
  <c r="D76" i="23"/>
  <c r="F76" i="23" s="1"/>
  <c r="C77" i="23"/>
  <c r="J78" i="23"/>
  <c r="K77" i="23"/>
  <c r="M77" i="23" s="1"/>
  <c r="AF221" i="23"/>
  <c r="AH221" i="23" s="1"/>
  <c r="AE222" i="23"/>
  <c r="Y185" i="23"/>
  <c r="AA185" i="23" s="1"/>
  <c r="X186" i="23"/>
  <c r="Q90" i="23"/>
  <c r="R89" i="23"/>
  <c r="W30" i="16"/>
  <c r="T32" i="16"/>
  <c r="V31" i="16"/>
  <c r="W31" i="16" s="1"/>
  <c r="U33" i="16"/>
  <c r="R100" i="25" l="1"/>
  <c r="T100" i="25" s="1"/>
  <c r="Q101" i="25"/>
  <c r="D77" i="26"/>
  <c r="F77" i="26" s="1"/>
  <c r="C78" i="26"/>
  <c r="AE223" i="26"/>
  <c r="AF222" i="26"/>
  <c r="AH222" i="26" s="1"/>
  <c r="F76" i="26"/>
  <c r="X187" i="26"/>
  <c r="Y186" i="26"/>
  <c r="J79" i="26"/>
  <c r="K78" i="26"/>
  <c r="M78" i="26" s="1"/>
  <c r="Q103" i="26"/>
  <c r="R102" i="26"/>
  <c r="T102" i="26" s="1"/>
  <c r="AE223" i="25"/>
  <c r="AF222" i="25"/>
  <c r="AH222" i="25" s="1"/>
  <c r="X187" i="25"/>
  <c r="Y186" i="25"/>
  <c r="AA186" i="25" s="1"/>
  <c r="K79" i="25"/>
  <c r="M79" i="25" s="1"/>
  <c r="J80" i="25"/>
  <c r="D78" i="25"/>
  <c r="F78" i="25" s="1"/>
  <c r="C79" i="25"/>
  <c r="X187" i="24"/>
  <c r="Y186" i="24"/>
  <c r="AA186" i="24" s="1"/>
  <c r="K78" i="24"/>
  <c r="M78" i="24" s="1"/>
  <c r="J79" i="24"/>
  <c r="AE223" i="24"/>
  <c r="AF222" i="24"/>
  <c r="R90" i="24"/>
  <c r="T90" i="24" s="1"/>
  <c r="Q91" i="24"/>
  <c r="D78" i="24"/>
  <c r="F78" i="24" s="1"/>
  <c r="C79" i="24"/>
  <c r="AF222" i="23"/>
  <c r="AH222" i="23" s="1"/>
  <c r="AE223" i="23"/>
  <c r="R90" i="23"/>
  <c r="T90" i="23" s="1"/>
  <c r="Q91" i="23"/>
  <c r="K78" i="23"/>
  <c r="M78" i="23" s="1"/>
  <c r="J79" i="23"/>
  <c r="T89" i="23"/>
  <c r="C78" i="23"/>
  <c r="D77" i="23"/>
  <c r="F77" i="23" s="1"/>
  <c r="X187" i="23"/>
  <c r="Y186" i="23"/>
  <c r="AA186" i="23" s="1"/>
  <c r="T33" i="16"/>
  <c r="V32" i="16"/>
  <c r="W32" i="16" s="1"/>
  <c r="U34" i="16"/>
  <c r="Q102" i="25" l="1"/>
  <c r="R101" i="25"/>
  <c r="T101" i="25" s="1"/>
  <c r="K79" i="26"/>
  <c r="M79" i="26" s="1"/>
  <c r="J80" i="26"/>
  <c r="R103" i="26"/>
  <c r="T103" i="26" s="1"/>
  <c r="Q104" i="26"/>
  <c r="AE224" i="26"/>
  <c r="AF223" i="26"/>
  <c r="AH223" i="26" s="1"/>
  <c r="C79" i="26"/>
  <c r="D78" i="26"/>
  <c r="F78" i="26" s="1"/>
  <c r="X188" i="26"/>
  <c r="Y187" i="26"/>
  <c r="AA187" i="26" s="1"/>
  <c r="AA186" i="26"/>
  <c r="X188" i="25"/>
  <c r="Y187" i="25"/>
  <c r="AA187" i="25" s="1"/>
  <c r="K80" i="25"/>
  <c r="M80" i="25" s="1"/>
  <c r="J81" i="25"/>
  <c r="AE224" i="25"/>
  <c r="AF223" i="25"/>
  <c r="AH223" i="25" s="1"/>
  <c r="D79" i="25"/>
  <c r="F79" i="25" s="1"/>
  <c r="C80" i="25"/>
  <c r="Y187" i="24"/>
  <c r="AA187" i="24" s="1"/>
  <c r="X188" i="24"/>
  <c r="AE224" i="24"/>
  <c r="AF223" i="24"/>
  <c r="AH223" i="24" s="1"/>
  <c r="D79" i="24"/>
  <c r="F79" i="24" s="1"/>
  <c r="C80" i="24"/>
  <c r="AH222" i="24"/>
  <c r="R91" i="24"/>
  <c r="T91" i="24" s="1"/>
  <c r="Q92" i="24"/>
  <c r="K79" i="24"/>
  <c r="M79" i="24" s="1"/>
  <c r="J80" i="24"/>
  <c r="D78" i="23"/>
  <c r="F78" i="23" s="1"/>
  <c r="C79" i="23"/>
  <c r="J80" i="23"/>
  <c r="K79" i="23"/>
  <c r="M79" i="23" s="1"/>
  <c r="X188" i="23"/>
  <c r="Y187" i="23"/>
  <c r="AA187" i="23" s="1"/>
  <c r="AF223" i="23"/>
  <c r="AH223" i="23" s="1"/>
  <c r="AE224" i="23"/>
  <c r="Q92" i="23"/>
  <c r="R91" i="23"/>
  <c r="T91" i="23" s="1"/>
  <c r="T34" i="16"/>
  <c r="V33" i="16"/>
  <c r="W33" i="16" s="1"/>
  <c r="U35" i="16"/>
  <c r="R102" i="25" l="1"/>
  <c r="T102" i="25" s="1"/>
  <c r="Q103" i="25"/>
  <c r="Y188" i="26"/>
  <c r="AA188" i="26" s="1"/>
  <c r="X189" i="26"/>
  <c r="AE225" i="26"/>
  <c r="AF224" i="26"/>
  <c r="AH224" i="26" s="1"/>
  <c r="J81" i="26"/>
  <c r="K80" i="26"/>
  <c r="M80" i="26" s="1"/>
  <c r="D79" i="26"/>
  <c r="F79" i="26" s="1"/>
  <c r="C80" i="26"/>
  <c r="Q105" i="26"/>
  <c r="R104" i="26"/>
  <c r="T104" i="26" s="1"/>
  <c r="AE225" i="25"/>
  <c r="AF224" i="25"/>
  <c r="AH224" i="25" s="1"/>
  <c r="Y188" i="25"/>
  <c r="AA188" i="25" s="1"/>
  <c r="X189" i="25"/>
  <c r="D80" i="25"/>
  <c r="F80" i="25" s="1"/>
  <c r="C81" i="25"/>
  <c r="J82" i="25"/>
  <c r="K81" i="25"/>
  <c r="D80" i="24"/>
  <c r="F80" i="24" s="1"/>
  <c r="C81" i="24"/>
  <c r="Y188" i="24"/>
  <c r="AA188" i="24" s="1"/>
  <c r="X189" i="24"/>
  <c r="AE225" i="24"/>
  <c r="AF224" i="24"/>
  <c r="AH224" i="24" s="1"/>
  <c r="R92" i="24"/>
  <c r="T92" i="24" s="1"/>
  <c r="Q93" i="24"/>
  <c r="K80" i="24"/>
  <c r="M80" i="24" s="1"/>
  <c r="J81" i="24"/>
  <c r="Q93" i="23"/>
  <c r="R92" i="23"/>
  <c r="T92" i="23" s="1"/>
  <c r="X189" i="23"/>
  <c r="Y188" i="23"/>
  <c r="AA188" i="23" s="1"/>
  <c r="C80" i="23"/>
  <c r="D79" i="23"/>
  <c r="F79" i="23" s="1"/>
  <c r="K80" i="23"/>
  <c r="M80" i="23" s="1"/>
  <c r="J81" i="23"/>
  <c r="AE225" i="23"/>
  <c r="AF224" i="23"/>
  <c r="AH224" i="23" s="1"/>
  <c r="T35" i="16"/>
  <c r="V34" i="16"/>
  <c r="W34" i="16" s="1"/>
  <c r="U36" i="16"/>
  <c r="R103" i="25" l="1"/>
  <c r="T103" i="25" s="1"/>
  <c r="Q104" i="25"/>
  <c r="AF225" i="26"/>
  <c r="AE226" i="26"/>
  <c r="Q106" i="26"/>
  <c r="R105" i="26"/>
  <c r="K81" i="26"/>
  <c r="J82" i="26"/>
  <c r="Y189" i="26"/>
  <c r="X190" i="26"/>
  <c r="C81" i="26"/>
  <c r="D80" i="26"/>
  <c r="F80" i="26" s="1"/>
  <c r="AF225" i="25"/>
  <c r="AE226" i="25"/>
  <c r="J83" i="25"/>
  <c r="K82" i="25"/>
  <c r="M81" i="25"/>
  <c r="N81" i="25"/>
  <c r="D81" i="25"/>
  <c r="C82" i="25"/>
  <c r="Y189" i="25"/>
  <c r="X190" i="25"/>
  <c r="AE226" i="24"/>
  <c r="AF225" i="24"/>
  <c r="J82" i="24"/>
  <c r="K81" i="24"/>
  <c r="D81" i="24"/>
  <c r="C82" i="24"/>
  <c r="R93" i="24"/>
  <c r="Q94" i="24"/>
  <c r="Y189" i="24"/>
  <c r="X190" i="24"/>
  <c r="AF225" i="23"/>
  <c r="AE226" i="23"/>
  <c r="D80" i="23"/>
  <c r="F80" i="23" s="1"/>
  <c r="C81" i="23"/>
  <c r="R93" i="23"/>
  <c r="Q94" i="23"/>
  <c r="X190" i="23"/>
  <c r="Y189" i="23"/>
  <c r="K81" i="23"/>
  <c r="J82" i="23"/>
  <c r="T36" i="16"/>
  <c r="V35" i="16"/>
  <c r="W35" i="16" s="1"/>
  <c r="U37" i="16"/>
  <c r="R104" i="25" l="1"/>
  <c r="T104" i="25" s="1"/>
  <c r="Q105" i="25"/>
  <c r="D81" i="26"/>
  <c r="C82" i="26"/>
  <c r="M81" i="26"/>
  <c r="N81" i="26"/>
  <c r="AA189" i="26"/>
  <c r="AB189" i="26"/>
  <c r="Q107" i="26"/>
  <c r="R106" i="26"/>
  <c r="AH225" i="26"/>
  <c r="AI225" i="26"/>
  <c r="J83" i="26"/>
  <c r="K82" i="26"/>
  <c r="AE227" i="26"/>
  <c r="AF226" i="26"/>
  <c r="Y190" i="26"/>
  <c r="X191" i="26"/>
  <c r="T105" i="26"/>
  <c r="U105" i="26"/>
  <c r="AH225" i="25"/>
  <c r="AI225" i="25"/>
  <c r="I347" i="25"/>
  <c r="K83" i="25"/>
  <c r="M83" i="25" s="1"/>
  <c r="J84" i="25"/>
  <c r="F81" i="25"/>
  <c r="G81" i="25"/>
  <c r="D82" i="25"/>
  <c r="C83" i="25"/>
  <c r="AE227" i="25"/>
  <c r="AF226" i="25"/>
  <c r="AA189" i="25"/>
  <c r="AB189" i="25"/>
  <c r="Y190" i="25"/>
  <c r="X191" i="25"/>
  <c r="M82" i="25"/>
  <c r="AA189" i="24"/>
  <c r="AB189" i="24"/>
  <c r="AK189" i="24" s="1"/>
  <c r="R346" i="24" s="1"/>
  <c r="AE227" i="24"/>
  <c r="AF226" i="24"/>
  <c r="F81" i="24"/>
  <c r="G81" i="24"/>
  <c r="D82" i="24"/>
  <c r="C83" i="24"/>
  <c r="T93" i="24"/>
  <c r="U93" i="24"/>
  <c r="J83" i="24"/>
  <c r="K82" i="24"/>
  <c r="X191" i="24"/>
  <c r="Y190" i="24"/>
  <c r="AH225" i="24"/>
  <c r="AI225" i="24"/>
  <c r="Q95" i="24"/>
  <c r="R94" i="24"/>
  <c r="M81" i="24"/>
  <c r="N81" i="24"/>
  <c r="AH225" i="23"/>
  <c r="AI225" i="23"/>
  <c r="T93" i="23"/>
  <c r="U93" i="23"/>
  <c r="Q95" i="23"/>
  <c r="R94" i="23"/>
  <c r="X191" i="23"/>
  <c r="Y190" i="23"/>
  <c r="M81" i="23"/>
  <c r="N81" i="23"/>
  <c r="J83" i="23"/>
  <c r="K82" i="23"/>
  <c r="AF226" i="23"/>
  <c r="AE227" i="23"/>
  <c r="AA189" i="23"/>
  <c r="AB189" i="23"/>
  <c r="AK189" i="23" s="1"/>
  <c r="R346" i="23" s="1"/>
  <c r="C82" i="23"/>
  <c r="D81" i="23"/>
  <c r="T37" i="16"/>
  <c r="V36" i="16"/>
  <c r="W36" i="16" s="1"/>
  <c r="U38" i="16"/>
  <c r="R105" i="25" l="1"/>
  <c r="Q106" i="25"/>
  <c r="AE228" i="26"/>
  <c r="AF227" i="26"/>
  <c r="AH227" i="26" s="1"/>
  <c r="F81" i="26"/>
  <c r="G81" i="26"/>
  <c r="AH226" i="26"/>
  <c r="AA190" i="26"/>
  <c r="K83" i="26"/>
  <c r="M83" i="26" s="1"/>
  <c r="J84" i="26"/>
  <c r="R107" i="26"/>
  <c r="T107" i="26" s="1"/>
  <c r="Q108" i="26"/>
  <c r="C83" i="26"/>
  <c r="D82" i="26"/>
  <c r="X192" i="26"/>
  <c r="Y191" i="26"/>
  <c r="AA191" i="26" s="1"/>
  <c r="M82" i="26"/>
  <c r="T106" i="26"/>
  <c r="I347" i="26"/>
  <c r="AA190" i="25"/>
  <c r="F82" i="25"/>
  <c r="K84" i="25"/>
  <c r="J85" i="25"/>
  <c r="X192" i="25"/>
  <c r="Y191" i="25"/>
  <c r="AA191" i="25" s="1"/>
  <c r="D83" i="25"/>
  <c r="F83" i="25" s="1"/>
  <c r="C84" i="25"/>
  <c r="AE228" i="25"/>
  <c r="AF227" i="25"/>
  <c r="AH227" i="25" s="1"/>
  <c r="AH226" i="25"/>
  <c r="I346" i="25"/>
  <c r="AK81" i="25"/>
  <c r="AA190" i="24"/>
  <c r="R95" i="24"/>
  <c r="T95" i="24" s="1"/>
  <c r="Q96" i="24"/>
  <c r="X192" i="24"/>
  <c r="Y191" i="24"/>
  <c r="AA191" i="24" s="1"/>
  <c r="T94" i="24"/>
  <c r="I346" i="24"/>
  <c r="AK81" i="24"/>
  <c r="K83" i="24"/>
  <c r="M83" i="24" s="1"/>
  <c r="J84" i="24"/>
  <c r="F82" i="24"/>
  <c r="AE228" i="24"/>
  <c r="AF227" i="24"/>
  <c r="AH227" i="24" s="1"/>
  <c r="I347" i="24"/>
  <c r="M82" i="24"/>
  <c r="D83" i="24"/>
  <c r="F83" i="24" s="1"/>
  <c r="C84" i="24"/>
  <c r="AH226" i="24"/>
  <c r="D82" i="23"/>
  <c r="C83" i="23"/>
  <c r="AH226" i="23"/>
  <c r="Q96" i="23"/>
  <c r="R95" i="23"/>
  <c r="T95" i="23" s="1"/>
  <c r="F81" i="23"/>
  <c r="G81" i="23"/>
  <c r="T94" i="23"/>
  <c r="I347" i="23"/>
  <c r="J84" i="23"/>
  <c r="K83" i="23"/>
  <c r="M83" i="23" s="1"/>
  <c r="Y191" i="23"/>
  <c r="AA191" i="23" s="1"/>
  <c r="X192" i="23"/>
  <c r="AF227" i="23"/>
  <c r="AH227" i="23" s="1"/>
  <c r="AE228" i="23"/>
  <c r="M82" i="23"/>
  <c r="AA190" i="23"/>
  <c r="T38" i="16"/>
  <c r="V37" i="16"/>
  <c r="W37" i="16" s="1"/>
  <c r="U39" i="16"/>
  <c r="Q107" i="25" l="1"/>
  <c r="R106" i="25"/>
  <c r="T106" i="25" s="1"/>
  <c r="T105" i="25"/>
  <c r="U105" i="25"/>
  <c r="F82" i="26"/>
  <c r="X193" i="26"/>
  <c r="Y192" i="26"/>
  <c r="D83" i="26"/>
  <c r="F83" i="26" s="1"/>
  <c r="C84" i="26"/>
  <c r="AE229" i="26"/>
  <c r="AF228" i="26"/>
  <c r="J85" i="26"/>
  <c r="K84" i="26"/>
  <c r="Q109" i="26"/>
  <c r="R108" i="26"/>
  <c r="I346" i="26"/>
  <c r="AK81" i="26"/>
  <c r="AE229" i="25"/>
  <c r="AF228" i="25"/>
  <c r="M84" i="25"/>
  <c r="D84" i="25"/>
  <c r="F84" i="25" s="1"/>
  <c r="C85" i="25"/>
  <c r="K85" i="25"/>
  <c r="M85" i="25" s="1"/>
  <c r="J86" i="25"/>
  <c r="Y192" i="25"/>
  <c r="X193" i="25"/>
  <c r="K84" i="24"/>
  <c r="J85" i="24"/>
  <c r="X193" i="24"/>
  <c r="Y192" i="24"/>
  <c r="AA192" i="24" s="1"/>
  <c r="D84" i="24"/>
  <c r="F84" i="24" s="1"/>
  <c r="C85" i="24"/>
  <c r="AE229" i="24"/>
  <c r="AF228" i="24"/>
  <c r="R96" i="24"/>
  <c r="T96" i="24" s="1"/>
  <c r="Q97" i="24"/>
  <c r="K84" i="23"/>
  <c r="M84" i="23" s="1"/>
  <c r="J85" i="23"/>
  <c r="R96" i="23"/>
  <c r="T96" i="23" s="1"/>
  <c r="Q97" i="23"/>
  <c r="F82" i="23"/>
  <c r="AF228" i="23"/>
  <c r="AH228" i="23" s="1"/>
  <c r="AE229" i="23"/>
  <c r="C84" i="23"/>
  <c r="D83" i="23"/>
  <c r="F83" i="23" s="1"/>
  <c r="X193" i="23"/>
  <c r="Y192" i="23"/>
  <c r="I346" i="23"/>
  <c r="AK81" i="23"/>
  <c r="T39" i="16"/>
  <c r="V38" i="16"/>
  <c r="W38" i="16" s="1"/>
  <c r="U40" i="16"/>
  <c r="R107" i="25" l="1"/>
  <c r="T107" i="25" s="1"/>
  <c r="Q108" i="25"/>
  <c r="K85" i="26"/>
  <c r="M85" i="26" s="1"/>
  <c r="J86" i="26"/>
  <c r="M84" i="26"/>
  <c r="C85" i="26"/>
  <c r="D84" i="26"/>
  <c r="F84" i="26" s="1"/>
  <c r="Q110" i="26"/>
  <c r="R109" i="26"/>
  <c r="T109" i="26" s="1"/>
  <c r="AE230" i="26"/>
  <c r="AF229" i="26"/>
  <c r="AH229" i="26" s="1"/>
  <c r="X194" i="26"/>
  <c r="Y193" i="26"/>
  <c r="AA193" i="26" s="1"/>
  <c r="T108" i="26"/>
  <c r="AH228" i="26"/>
  <c r="AA192" i="26"/>
  <c r="AE230" i="25"/>
  <c r="AF229" i="25"/>
  <c r="AH229" i="25" s="1"/>
  <c r="D85" i="25"/>
  <c r="F85" i="25" s="1"/>
  <c r="C86" i="25"/>
  <c r="AH228" i="25"/>
  <c r="X194" i="25"/>
  <c r="Y193" i="25"/>
  <c r="AA193" i="25" s="1"/>
  <c r="AA192" i="25"/>
  <c r="K86" i="25"/>
  <c r="M86" i="25" s="1"/>
  <c r="J87" i="25"/>
  <c r="X194" i="24"/>
  <c r="Y193" i="24"/>
  <c r="AA193" i="24" s="1"/>
  <c r="M84" i="24"/>
  <c r="R97" i="24"/>
  <c r="T97" i="24" s="1"/>
  <c r="Q98" i="24"/>
  <c r="K85" i="24"/>
  <c r="M85" i="24" s="1"/>
  <c r="J86" i="24"/>
  <c r="D85" i="24"/>
  <c r="F85" i="24" s="1"/>
  <c r="C86" i="24"/>
  <c r="AE230" i="24"/>
  <c r="AF229" i="24"/>
  <c r="AH229" i="24" s="1"/>
  <c r="AH228" i="24"/>
  <c r="AF229" i="23"/>
  <c r="AE230" i="23"/>
  <c r="J86" i="23"/>
  <c r="K85" i="23"/>
  <c r="Y193" i="23"/>
  <c r="AA193" i="23" s="1"/>
  <c r="X194" i="23"/>
  <c r="AA192" i="23"/>
  <c r="D84" i="23"/>
  <c r="C85" i="23"/>
  <c r="Q98" i="23"/>
  <c r="R97" i="23"/>
  <c r="T40" i="16"/>
  <c r="V39" i="16"/>
  <c r="U41" i="16"/>
  <c r="Q109" i="25" l="1"/>
  <c r="R108" i="25"/>
  <c r="T108" i="25" s="1"/>
  <c r="Y194" i="26"/>
  <c r="X195" i="26"/>
  <c r="AE231" i="26"/>
  <c r="AF230" i="26"/>
  <c r="D85" i="26"/>
  <c r="C86" i="26"/>
  <c r="Q111" i="26"/>
  <c r="R110" i="26"/>
  <c r="J87" i="26"/>
  <c r="K86" i="26"/>
  <c r="K87" i="25"/>
  <c r="J88" i="25"/>
  <c r="AE231" i="25"/>
  <c r="AF230" i="25"/>
  <c r="X195" i="25"/>
  <c r="Y194" i="25"/>
  <c r="D86" i="25"/>
  <c r="C87" i="25"/>
  <c r="X195" i="24"/>
  <c r="Y194" i="24"/>
  <c r="R98" i="24"/>
  <c r="T98" i="24" s="1"/>
  <c r="Q99" i="24"/>
  <c r="D86" i="24"/>
  <c r="C87" i="24"/>
  <c r="AE231" i="24"/>
  <c r="AF230" i="24"/>
  <c r="K86" i="24"/>
  <c r="M86" i="24" s="1"/>
  <c r="J87" i="24"/>
  <c r="AH229" i="23"/>
  <c r="K86" i="23"/>
  <c r="M86" i="23" s="1"/>
  <c r="J87" i="23"/>
  <c r="R98" i="23"/>
  <c r="T98" i="23" s="1"/>
  <c r="Q99" i="23"/>
  <c r="T97" i="23"/>
  <c r="AF230" i="23"/>
  <c r="AH230" i="23" s="1"/>
  <c r="AE231" i="23"/>
  <c r="F84" i="23"/>
  <c r="C86" i="23"/>
  <c r="D85" i="23"/>
  <c r="F85" i="23" s="1"/>
  <c r="X195" i="23"/>
  <c r="Y194" i="23"/>
  <c r="M85" i="23"/>
  <c r="W39" i="16"/>
  <c r="X39" i="16"/>
  <c r="T41" i="16"/>
  <c r="V40" i="16"/>
  <c r="U42" i="16"/>
  <c r="Q110" i="25" l="1"/>
  <c r="R109" i="25"/>
  <c r="T109" i="25" s="1"/>
  <c r="F85" i="26"/>
  <c r="M86" i="26"/>
  <c r="Q112" i="26"/>
  <c r="R111" i="26"/>
  <c r="T111" i="26" s="1"/>
  <c r="AE232" i="26"/>
  <c r="AF231" i="26"/>
  <c r="AH231" i="26" s="1"/>
  <c r="K87" i="26"/>
  <c r="M87" i="26" s="1"/>
  <c r="J88" i="26"/>
  <c r="AA194" i="26"/>
  <c r="C87" i="26"/>
  <c r="D86" i="26"/>
  <c r="F86" i="26" s="1"/>
  <c r="X196" i="26"/>
  <c r="Y195" i="26"/>
  <c r="AA195" i="26" s="1"/>
  <c r="T110" i="26"/>
  <c r="AH230" i="26"/>
  <c r="M87" i="25"/>
  <c r="K88" i="25"/>
  <c r="M88" i="25" s="1"/>
  <c r="J89" i="25"/>
  <c r="D87" i="25"/>
  <c r="F87" i="25" s="1"/>
  <c r="C88" i="25"/>
  <c r="X196" i="25"/>
  <c r="Y195" i="25"/>
  <c r="AA195" i="25" s="1"/>
  <c r="AE232" i="25"/>
  <c r="AF231" i="25"/>
  <c r="AH231" i="25" s="1"/>
  <c r="F86" i="25"/>
  <c r="AA194" i="25"/>
  <c r="AH230" i="25"/>
  <c r="F86" i="24"/>
  <c r="X196" i="24"/>
  <c r="Y195" i="24"/>
  <c r="AA195" i="24" s="1"/>
  <c r="K87" i="24"/>
  <c r="M87" i="24" s="1"/>
  <c r="J88" i="24"/>
  <c r="D87" i="24"/>
  <c r="F87" i="24" s="1"/>
  <c r="C88" i="24"/>
  <c r="AE232" i="24"/>
  <c r="AF231" i="24"/>
  <c r="AH231" i="24" s="1"/>
  <c r="AA194" i="24"/>
  <c r="AH230" i="24"/>
  <c r="R99" i="24"/>
  <c r="Q100" i="24"/>
  <c r="D86" i="23"/>
  <c r="F86" i="23" s="1"/>
  <c r="C87" i="23"/>
  <c r="AF231" i="23"/>
  <c r="AH231" i="23" s="1"/>
  <c r="AE232" i="23"/>
  <c r="Q100" i="23"/>
  <c r="R99" i="23"/>
  <c r="T99" i="23" s="1"/>
  <c r="Y195" i="23"/>
  <c r="AA195" i="23" s="1"/>
  <c r="X196" i="23"/>
  <c r="AA194" i="23"/>
  <c r="J88" i="23"/>
  <c r="K87" i="23"/>
  <c r="W40" i="16"/>
  <c r="T42" i="16"/>
  <c r="V41" i="16"/>
  <c r="W41" i="16" s="1"/>
  <c r="U43" i="16"/>
  <c r="Q111" i="25" l="1"/>
  <c r="R110" i="25"/>
  <c r="T110" i="25" s="1"/>
  <c r="J89" i="26"/>
  <c r="K88" i="26"/>
  <c r="M88" i="26" s="1"/>
  <c r="X197" i="26"/>
  <c r="Y196" i="26"/>
  <c r="AA196" i="26" s="1"/>
  <c r="AE233" i="26"/>
  <c r="AF232" i="26"/>
  <c r="D87" i="26"/>
  <c r="F87" i="26" s="1"/>
  <c r="C88" i="26"/>
  <c r="Q113" i="26"/>
  <c r="R112" i="26"/>
  <c r="X197" i="25"/>
  <c r="Y196" i="25"/>
  <c r="AA196" i="25" s="1"/>
  <c r="K89" i="25"/>
  <c r="M89" i="25" s="1"/>
  <c r="J90" i="25"/>
  <c r="AE233" i="25"/>
  <c r="AF232" i="25"/>
  <c r="D88" i="25"/>
  <c r="C89" i="25"/>
  <c r="AE233" i="24"/>
  <c r="AF232" i="24"/>
  <c r="K88" i="24"/>
  <c r="J89" i="24"/>
  <c r="X197" i="24"/>
  <c r="Y196" i="24"/>
  <c r="T99" i="24"/>
  <c r="R100" i="24"/>
  <c r="T100" i="24" s="1"/>
  <c r="Q101" i="24"/>
  <c r="D88" i="24"/>
  <c r="C89" i="24"/>
  <c r="R100" i="23"/>
  <c r="T100" i="23" s="1"/>
  <c r="Q101" i="23"/>
  <c r="C88" i="23"/>
  <c r="D87" i="23"/>
  <c r="K88" i="23"/>
  <c r="M88" i="23" s="1"/>
  <c r="J89" i="23"/>
  <c r="M87" i="23"/>
  <c r="X197" i="23"/>
  <c r="Y196" i="23"/>
  <c r="AF232" i="23"/>
  <c r="AE233" i="23"/>
  <c r="T43" i="16"/>
  <c r="V42" i="16"/>
  <c r="W42" i="16" s="1"/>
  <c r="U44" i="16"/>
  <c r="R111" i="25" l="1"/>
  <c r="T111" i="25" s="1"/>
  <c r="Q112" i="25"/>
  <c r="C89" i="26"/>
  <c r="D88" i="26"/>
  <c r="K89" i="26"/>
  <c r="J90" i="26"/>
  <c r="AH232" i="26"/>
  <c r="T112" i="26"/>
  <c r="X198" i="26"/>
  <c r="Y197" i="26"/>
  <c r="AE234" i="26"/>
  <c r="AF233" i="26"/>
  <c r="AH233" i="26" s="1"/>
  <c r="Q114" i="26"/>
  <c r="R113" i="26"/>
  <c r="T113" i="26" s="1"/>
  <c r="X198" i="25"/>
  <c r="Y197" i="25"/>
  <c r="K90" i="25"/>
  <c r="M90" i="25" s="1"/>
  <c r="J91" i="25"/>
  <c r="F88" i="25"/>
  <c r="AE234" i="25"/>
  <c r="AF233" i="25"/>
  <c r="AH233" i="25" s="1"/>
  <c r="D89" i="25"/>
  <c r="F89" i="25" s="1"/>
  <c r="C90" i="25"/>
  <c r="AH232" i="25"/>
  <c r="X198" i="24"/>
  <c r="Y197" i="24"/>
  <c r="AA197" i="24" s="1"/>
  <c r="AE234" i="24"/>
  <c r="AF233" i="24"/>
  <c r="AH233" i="24" s="1"/>
  <c r="AH232" i="24"/>
  <c r="R101" i="24"/>
  <c r="T101" i="24" s="1"/>
  <c r="Q102" i="24"/>
  <c r="M88" i="24"/>
  <c r="AA196" i="24"/>
  <c r="F88" i="24"/>
  <c r="D89" i="24"/>
  <c r="F89" i="24" s="1"/>
  <c r="C90" i="24"/>
  <c r="K89" i="24"/>
  <c r="M89" i="24" s="1"/>
  <c r="J90" i="24"/>
  <c r="Y197" i="23"/>
  <c r="AA197" i="23" s="1"/>
  <c r="X198" i="23"/>
  <c r="J90" i="23"/>
  <c r="K89" i="23"/>
  <c r="M89" i="23" s="1"/>
  <c r="D88" i="23"/>
  <c r="F88" i="23" s="1"/>
  <c r="C89" i="23"/>
  <c r="AA196" i="23"/>
  <c r="Q102" i="23"/>
  <c r="R101" i="23"/>
  <c r="T101" i="23" s="1"/>
  <c r="AH232" i="23"/>
  <c r="AF233" i="23"/>
  <c r="AH233" i="23" s="1"/>
  <c r="AE234" i="23"/>
  <c r="F87" i="23"/>
  <c r="T44" i="16"/>
  <c r="V43" i="16"/>
  <c r="U45" i="16"/>
  <c r="R112" i="25" l="1"/>
  <c r="T112" i="25" s="1"/>
  <c r="Q113" i="25"/>
  <c r="X199" i="26"/>
  <c r="Y198" i="26"/>
  <c r="AA198" i="26" s="1"/>
  <c r="AA197" i="26"/>
  <c r="F88" i="26"/>
  <c r="AE235" i="26"/>
  <c r="AF234" i="26"/>
  <c r="M89" i="26"/>
  <c r="Q115" i="26"/>
  <c r="R114" i="26"/>
  <c r="T114" i="26" s="1"/>
  <c r="D89" i="26"/>
  <c r="F89" i="26" s="1"/>
  <c r="C90" i="26"/>
  <c r="J91" i="26"/>
  <c r="K90" i="26"/>
  <c r="M90" i="26" s="1"/>
  <c r="AE235" i="25"/>
  <c r="AF234" i="25"/>
  <c r="K91" i="25"/>
  <c r="M91" i="25" s="1"/>
  <c r="J92" i="25"/>
  <c r="X199" i="25"/>
  <c r="Y198" i="25"/>
  <c r="AA198" i="25" s="1"/>
  <c r="D90" i="25"/>
  <c r="F90" i="25" s="1"/>
  <c r="C91" i="25"/>
  <c r="AA197" i="25"/>
  <c r="X199" i="24"/>
  <c r="Y198" i="24"/>
  <c r="AA198" i="24" s="1"/>
  <c r="K90" i="24"/>
  <c r="M90" i="24" s="1"/>
  <c r="J91" i="24"/>
  <c r="AE235" i="24"/>
  <c r="AF234" i="24"/>
  <c r="D90" i="24"/>
  <c r="F90" i="24" s="1"/>
  <c r="C91" i="24"/>
  <c r="R102" i="24"/>
  <c r="T102" i="24" s="1"/>
  <c r="Q103" i="24"/>
  <c r="AF234" i="23"/>
  <c r="AH234" i="23" s="1"/>
  <c r="AE235" i="23"/>
  <c r="C90" i="23"/>
  <c r="D89" i="23"/>
  <c r="F89" i="23" s="1"/>
  <c r="X199" i="23"/>
  <c r="Y198" i="23"/>
  <c r="AA198" i="23" s="1"/>
  <c r="K90" i="23"/>
  <c r="M90" i="23" s="1"/>
  <c r="J91" i="23"/>
  <c r="R102" i="23"/>
  <c r="T102" i="23" s="1"/>
  <c r="Q103" i="23"/>
  <c r="W43" i="16"/>
  <c r="T45" i="16"/>
  <c r="V44" i="16"/>
  <c r="W44" i="16" s="1"/>
  <c r="U46" i="16"/>
  <c r="R113" i="25" l="1"/>
  <c r="T113" i="25" s="1"/>
  <c r="Q114" i="25"/>
  <c r="C91" i="26"/>
  <c r="D90" i="26"/>
  <c r="F90" i="26" s="1"/>
  <c r="K91" i="26"/>
  <c r="M91" i="26" s="1"/>
  <c r="J92" i="26"/>
  <c r="Q116" i="26"/>
  <c r="R115" i="26"/>
  <c r="T115" i="26" s="1"/>
  <c r="AE236" i="26"/>
  <c r="AF235" i="26"/>
  <c r="AH235" i="26" s="1"/>
  <c r="X200" i="26"/>
  <c r="Y199" i="26"/>
  <c r="AA199" i="26" s="1"/>
  <c r="AH234" i="26"/>
  <c r="X200" i="25"/>
  <c r="Y199" i="25"/>
  <c r="AA199" i="25" s="1"/>
  <c r="AE236" i="25"/>
  <c r="AF235" i="25"/>
  <c r="AH235" i="25" s="1"/>
  <c r="AH234" i="25"/>
  <c r="D91" i="25"/>
  <c r="F91" i="25" s="1"/>
  <c r="C92" i="25"/>
  <c r="K92" i="25"/>
  <c r="M92" i="25" s="1"/>
  <c r="J93" i="25"/>
  <c r="X200" i="24"/>
  <c r="Y199" i="24"/>
  <c r="AA199" i="24" s="1"/>
  <c r="AE236" i="24"/>
  <c r="AF235" i="24"/>
  <c r="AH235" i="24" s="1"/>
  <c r="Q104" i="24"/>
  <c r="R103" i="24"/>
  <c r="T103" i="24" s="1"/>
  <c r="AH234" i="24"/>
  <c r="D91" i="24"/>
  <c r="F91" i="24" s="1"/>
  <c r="C92" i="24"/>
  <c r="K91" i="24"/>
  <c r="M91" i="24" s="1"/>
  <c r="J92" i="24"/>
  <c r="X200" i="23"/>
  <c r="Y199" i="23"/>
  <c r="AA199" i="23" s="1"/>
  <c r="AF235" i="23"/>
  <c r="AH235" i="23" s="1"/>
  <c r="AE236" i="23"/>
  <c r="D90" i="23"/>
  <c r="F90" i="23" s="1"/>
  <c r="C91" i="23"/>
  <c r="Q104" i="23"/>
  <c r="R103" i="23"/>
  <c r="T103" i="23" s="1"/>
  <c r="J92" i="23"/>
  <c r="K91" i="23"/>
  <c r="M91" i="23" s="1"/>
  <c r="T46" i="16"/>
  <c r="V45" i="16"/>
  <c r="U47" i="16"/>
  <c r="Q115" i="25" l="1"/>
  <c r="R114" i="25"/>
  <c r="T114" i="25" s="1"/>
  <c r="X201" i="26"/>
  <c r="Y200" i="26"/>
  <c r="AA200" i="26" s="1"/>
  <c r="D91" i="26"/>
  <c r="F91" i="26" s="1"/>
  <c r="C92" i="26"/>
  <c r="AE237" i="26"/>
  <c r="AF236" i="26"/>
  <c r="AH236" i="26" s="1"/>
  <c r="Q117" i="26"/>
  <c r="R116" i="26"/>
  <c r="T116" i="26" s="1"/>
  <c r="J93" i="26"/>
  <c r="K92" i="26"/>
  <c r="M92" i="26" s="1"/>
  <c r="X201" i="25"/>
  <c r="Y200" i="25"/>
  <c r="AA200" i="25" s="1"/>
  <c r="AE237" i="25"/>
  <c r="AF236" i="25"/>
  <c r="AH236" i="25" s="1"/>
  <c r="D92" i="25"/>
  <c r="F92" i="25" s="1"/>
  <c r="C93" i="25"/>
  <c r="J94" i="25"/>
  <c r="K93" i="25"/>
  <c r="R104" i="24"/>
  <c r="T104" i="24" s="1"/>
  <c r="Q105" i="24"/>
  <c r="X201" i="24"/>
  <c r="Y200" i="24"/>
  <c r="AA200" i="24" s="1"/>
  <c r="D92" i="24"/>
  <c r="F92" i="24" s="1"/>
  <c r="C93" i="24"/>
  <c r="AE237" i="24"/>
  <c r="AF236" i="24"/>
  <c r="AH236" i="24" s="1"/>
  <c r="K92" i="24"/>
  <c r="M92" i="24" s="1"/>
  <c r="J93" i="24"/>
  <c r="K92" i="23"/>
  <c r="M92" i="23" s="1"/>
  <c r="J93" i="23"/>
  <c r="X201" i="23"/>
  <c r="Y200" i="23"/>
  <c r="AA200" i="23" s="1"/>
  <c r="C92" i="23"/>
  <c r="D91" i="23"/>
  <c r="F91" i="23" s="1"/>
  <c r="Q105" i="23"/>
  <c r="R104" i="23"/>
  <c r="T104" i="23" s="1"/>
  <c r="AE237" i="23"/>
  <c r="AF236" i="23"/>
  <c r="AH236" i="23" s="1"/>
  <c r="W45" i="16"/>
  <c r="T47" i="16"/>
  <c r="V46" i="16"/>
  <c r="W46" i="16" s="1"/>
  <c r="U48" i="16"/>
  <c r="F32" i="14"/>
  <c r="F29" i="14" s="1"/>
  <c r="F31" i="14" s="1"/>
  <c r="E29" i="14"/>
  <c r="E31" i="14" s="1"/>
  <c r="F24" i="14"/>
  <c r="F21" i="14" s="1"/>
  <c r="F23" i="14" s="1"/>
  <c r="E21" i="14"/>
  <c r="E23" i="14" s="1"/>
  <c r="F16" i="14"/>
  <c r="F13" i="14" s="1"/>
  <c r="F15" i="14" s="1"/>
  <c r="E13" i="14"/>
  <c r="E15" i="14" s="1"/>
  <c r="F8" i="14"/>
  <c r="F41" i="14" s="1"/>
  <c r="F38" i="14" s="1"/>
  <c r="F40" i="14" s="1"/>
  <c r="AH6" i="13"/>
  <c r="AI6" i="13" s="1"/>
  <c r="AH7" i="13"/>
  <c r="AI7" i="13" s="1"/>
  <c r="AH8" i="13"/>
  <c r="AI8" i="13" s="1"/>
  <c r="AH9" i="13"/>
  <c r="AI9" i="13" s="1"/>
  <c r="AH10" i="13"/>
  <c r="AI10" i="13" s="1"/>
  <c r="AH5" i="13"/>
  <c r="AI5" i="13" s="1"/>
  <c r="Y6" i="13"/>
  <c r="Z6" i="13"/>
  <c r="Y7" i="13"/>
  <c r="Z7" i="13" s="1"/>
  <c r="Y8" i="13"/>
  <c r="Z8" i="13"/>
  <c r="Y9" i="13"/>
  <c r="Z9" i="13" s="1"/>
  <c r="Y10" i="13"/>
  <c r="Z10" i="13" s="1"/>
  <c r="Y11" i="13"/>
  <c r="Z11" i="13" s="1"/>
  <c r="Y12" i="13"/>
  <c r="Z12" i="13" s="1"/>
  <c r="Y13" i="13"/>
  <c r="Z13" i="13" s="1"/>
  <c r="Y14" i="13"/>
  <c r="Z14" i="13"/>
  <c r="Y15" i="13"/>
  <c r="Z15" i="13" s="1"/>
  <c r="Y16" i="13"/>
  <c r="Z16" i="13" s="1"/>
  <c r="Y17" i="13"/>
  <c r="Z17" i="13" s="1"/>
  <c r="Y18" i="13"/>
  <c r="Z18" i="13" s="1"/>
  <c r="Y19" i="13"/>
  <c r="Z19" i="13" s="1"/>
  <c r="Y20" i="13"/>
  <c r="Z20" i="13"/>
  <c r="Y21" i="13"/>
  <c r="Z21" i="13" s="1"/>
  <c r="Y22" i="13"/>
  <c r="Z22" i="13"/>
  <c r="Y23" i="13"/>
  <c r="Z23" i="13" s="1"/>
  <c r="Y24" i="13"/>
  <c r="Z24" i="13" s="1"/>
  <c r="Y25" i="13"/>
  <c r="Z25" i="13" s="1"/>
  <c r="Y26" i="13"/>
  <c r="Z26" i="13" s="1"/>
  <c r="Y27" i="13"/>
  <c r="Z27" i="13" s="1"/>
  <c r="Y28" i="13"/>
  <c r="Z28" i="13" s="1"/>
  <c r="Y29" i="13"/>
  <c r="Z29" i="13" s="1"/>
  <c r="Y30" i="13"/>
  <c r="Z30" i="13" s="1"/>
  <c r="Y31" i="13"/>
  <c r="Z31" i="13" s="1"/>
  <c r="Y32" i="13"/>
  <c r="Z32" i="13" s="1"/>
  <c r="Y33" i="13"/>
  <c r="Z33" i="13" s="1"/>
  <c r="Y34" i="13"/>
  <c r="Z34" i="13" s="1"/>
  <c r="Y35" i="13"/>
  <c r="Z35" i="13" s="1"/>
  <c r="Y36" i="13"/>
  <c r="Z36" i="13"/>
  <c r="Y37" i="13"/>
  <c r="Z37" i="13" s="1"/>
  <c r="Y38" i="13"/>
  <c r="Z38" i="13" s="1"/>
  <c r="Y39" i="13"/>
  <c r="Z39" i="13" s="1"/>
  <c r="Y40" i="13"/>
  <c r="Z40" i="13" s="1"/>
  <c r="Y41" i="13"/>
  <c r="Z41" i="13" s="1"/>
  <c r="Y42" i="13"/>
  <c r="Z42" i="13" s="1"/>
  <c r="Y43" i="13"/>
  <c r="Z43" i="13" s="1"/>
  <c r="Y5" i="13"/>
  <c r="Z5" i="13" s="1"/>
  <c r="P11" i="13"/>
  <c r="Q11" i="13" s="1"/>
  <c r="P10" i="13"/>
  <c r="Q10" i="13" s="1"/>
  <c r="P9" i="13"/>
  <c r="Q9" i="13" s="1"/>
  <c r="P8" i="13"/>
  <c r="Q8" i="13" s="1"/>
  <c r="P7" i="13"/>
  <c r="Q7" i="13" s="1"/>
  <c r="P6" i="13"/>
  <c r="Q6" i="13" s="1"/>
  <c r="P5" i="13"/>
  <c r="Q5" i="13" s="1"/>
  <c r="G6" i="13"/>
  <c r="H6" i="13" s="1"/>
  <c r="G7" i="13"/>
  <c r="H7" i="13" s="1"/>
  <c r="G8" i="13"/>
  <c r="H8" i="13" s="1"/>
  <c r="G9" i="13"/>
  <c r="H9" i="13" s="1"/>
  <c r="G10" i="13"/>
  <c r="H10" i="13" s="1"/>
  <c r="G11" i="13"/>
  <c r="H11" i="13" s="1"/>
  <c r="G12" i="13"/>
  <c r="H12" i="13" s="1"/>
  <c r="G13" i="13"/>
  <c r="H13" i="13" s="1"/>
  <c r="G14" i="13"/>
  <c r="H14" i="13" s="1"/>
  <c r="G15" i="13"/>
  <c r="H15" i="13" s="1"/>
  <c r="G16" i="13"/>
  <c r="H16" i="13" s="1"/>
  <c r="G17" i="13"/>
  <c r="H17" i="13" s="1"/>
  <c r="G18" i="13"/>
  <c r="H18" i="13" s="1"/>
  <c r="G19" i="13"/>
  <c r="H19" i="13" s="1"/>
  <c r="G20" i="13"/>
  <c r="H20" i="13" s="1"/>
  <c r="G21" i="13"/>
  <c r="H21" i="13" s="1"/>
  <c r="G22" i="13"/>
  <c r="H22" i="13" s="1"/>
  <c r="G23" i="13"/>
  <c r="H23" i="13" s="1"/>
  <c r="G24" i="13"/>
  <c r="H24" i="13" s="1"/>
  <c r="G25" i="13"/>
  <c r="H25" i="13" s="1"/>
  <c r="G26" i="13"/>
  <c r="H26" i="13" s="1"/>
  <c r="G27" i="13"/>
  <c r="H27" i="13" s="1"/>
  <c r="G28" i="13"/>
  <c r="H28" i="13" s="1"/>
  <c r="G29" i="13"/>
  <c r="H29" i="13" s="1"/>
  <c r="G30" i="13"/>
  <c r="H30" i="13" s="1"/>
  <c r="G31" i="13"/>
  <c r="H31" i="13" s="1"/>
  <c r="G32" i="13"/>
  <c r="H32" i="13" s="1"/>
  <c r="G33" i="13"/>
  <c r="H33" i="13" s="1"/>
  <c r="G34" i="13"/>
  <c r="H34" i="13" s="1"/>
  <c r="G35" i="13"/>
  <c r="H35" i="13" s="1"/>
  <c r="G36" i="13"/>
  <c r="H36" i="13" s="1"/>
  <c r="G37" i="13"/>
  <c r="H37" i="13" s="1"/>
  <c r="G38" i="13"/>
  <c r="H38" i="13" s="1"/>
  <c r="G39" i="13"/>
  <c r="H39" i="13" s="1"/>
  <c r="G40" i="13"/>
  <c r="H40" i="13" s="1"/>
  <c r="G41" i="13"/>
  <c r="H41" i="13" s="1"/>
  <c r="G42" i="13"/>
  <c r="H42" i="13" s="1"/>
  <c r="G43" i="13"/>
  <c r="H43" i="13" s="1"/>
  <c r="G44" i="13"/>
  <c r="H44" i="13" s="1"/>
  <c r="G45" i="13"/>
  <c r="H45" i="13" s="1"/>
  <c r="G46" i="13"/>
  <c r="H46" i="13" s="1"/>
  <c r="G47" i="13"/>
  <c r="H47" i="13" s="1"/>
  <c r="G48" i="13"/>
  <c r="H48" i="13" s="1"/>
  <c r="G49" i="13"/>
  <c r="H49" i="13" s="1"/>
  <c r="G50" i="13"/>
  <c r="H50" i="13" s="1"/>
  <c r="G51" i="13"/>
  <c r="H51" i="13" s="1"/>
  <c r="G52" i="13"/>
  <c r="H52" i="13" s="1"/>
  <c r="G53" i="13"/>
  <c r="H53" i="13" s="1"/>
  <c r="G54" i="13"/>
  <c r="H54" i="13" s="1"/>
  <c r="G55" i="13"/>
  <c r="H55" i="13" s="1"/>
  <c r="G56" i="13"/>
  <c r="H56" i="13" s="1"/>
  <c r="G57" i="13"/>
  <c r="H57" i="13" s="1"/>
  <c r="G58" i="13"/>
  <c r="H58" i="13" s="1"/>
  <c r="G59" i="13"/>
  <c r="H59" i="13" s="1"/>
  <c r="G60" i="13"/>
  <c r="H60" i="13" s="1"/>
  <c r="G61" i="13"/>
  <c r="H61" i="13" s="1"/>
  <c r="G62" i="13"/>
  <c r="H62" i="13" s="1"/>
  <c r="G63" i="13"/>
  <c r="H63" i="13" s="1"/>
  <c r="G64" i="13"/>
  <c r="H64" i="13" s="1"/>
  <c r="G65" i="13"/>
  <c r="H65" i="13" s="1"/>
  <c r="G66" i="13"/>
  <c r="H66" i="13" s="1"/>
  <c r="G67" i="13"/>
  <c r="H67" i="13" s="1"/>
  <c r="G68" i="13"/>
  <c r="H68" i="13" s="1"/>
  <c r="G69" i="13"/>
  <c r="H69" i="13" s="1"/>
  <c r="G70" i="13"/>
  <c r="H70" i="13" s="1"/>
  <c r="G5" i="13"/>
  <c r="H5" i="13" s="1"/>
  <c r="H71" i="13" l="1"/>
  <c r="H85" i="13" s="1"/>
  <c r="Q12" i="13"/>
  <c r="H86" i="13" s="1"/>
  <c r="AI11" i="13"/>
  <c r="H88" i="13" s="1"/>
  <c r="Z44" i="13"/>
  <c r="H87" i="13" s="1"/>
  <c r="Y44" i="13"/>
  <c r="AH11" i="13"/>
  <c r="P12" i="13"/>
  <c r="G71" i="13"/>
  <c r="R115" i="25"/>
  <c r="T115" i="25" s="1"/>
  <c r="Q116" i="25"/>
  <c r="K93" i="26"/>
  <c r="J94" i="26"/>
  <c r="AF237" i="26"/>
  <c r="AE238" i="26"/>
  <c r="Q118" i="26"/>
  <c r="R117" i="26"/>
  <c r="X202" i="26"/>
  <c r="Y201" i="26"/>
  <c r="C93" i="26"/>
  <c r="D92" i="26"/>
  <c r="F92" i="26" s="1"/>
  <c r="X202" i="25"/>
  <c r="Y201" i="25"/>
  <c r="D93" i="25"/>
  <c r="C94" i="25"/>
  <c r="J95" i="25"/>
  <c r="K94" i="25"/>
  <c r="AF237" i="25"/>
  <c r="AE238" i="25"/>
  <c r="M93" i="25"/>
  <c r="N93" i="25"/>
  <c r="J94" i="24"/>
  <c r="K93" i="24"/>
  <c r="D93" i="24"/>
  <c r="C94" i="24"/>
  <c r="R105" i="24"/>
  <c r="Q106" i="24"/>
  <c r="AE238" i="24"/>
  <c r="AF237" i="24"/>
  <c r="X202" i="24"/>
  <c r="Y201" i="24"/>
  <c r="AF237" i="23"/>
  <c r="AE238" i="23"/>
  <c r="D92" i="23"/>
  <c r="F92" i="23" s="1"/>
  <c r="C93" i="23"/>
  <c r="K93" i="23"/>
  <c r="J94" i="23"/>
  <c r="Q106" i="23"/>
  <c r="R105" i="23"/>
  <c r="Y201" i="23"/>
  <c r="X202" i="23"/>
  <c r="T48" i="16"/>
  <c r="V47" i="16"/>
  <c r="U49" i="16"/>
  <c r="G33" i="9"/>
  <c r="H33" i="9"/>
  <c r="I33" i="9"/>
  <c r="J33" i="9"/>
  <c r="K33" i="9"/>
  <c r="L33" i="9"/>
  <c r="F33" i="9"/>
  <c r="Z14" i="19"/>
  <c r="AL14" i="19" s="1"/>
  <c r="AX14" i="19" s="1"/>
  <c r="BJ14" i="19" s="1"/>
  <c r="BV14" i="19" s="1"/>
  <c r="CH14" i="19" s="1"/>
  <c r="E14" i="19"/>
  <c r="Q14" i="19" s="1"/>
  <c r="AC14" i="19" s="1"/>
  <c r="AO14" i="19" s="1"/>
  <c r="BA14" i="19" s="1"/>
  <c r="BM14" i="19" s="1"/>
  <c r="BY14" i="19" s="1"/>
  <c r="B15" i="19"/>
  <c r="C15" i="19" s="1"/>
  <c r="D15" i="19" s="1"/>
  <c r="E15" i="19" s="1"/>
  <c r="F15" i="19" s="1"/>
  <c r="G15" i="19" s="1"/>
  <c r="H15" i="19" s="1"/>
  <c r="I15" i="19" s="1"/>
  <c r="J15" i="19" s="1"/>
  <c r="K15" i="19" s="1"/>
  <c r="L15" i="19" s="1"/>
  <c r="M15" i="19" s="1"/>
  <c r="N15" i="19" s="1"/>
  <c r="O15" i="19" s="1"/>
  <c r="P15" i="19" s="1"/>
  <c r="Q15" i="19" s="1"/>
  <c r="R15" i="19" s="1"/>
  <c r="S15" i="19" s="1"/>
  <c r="T15" i="19" s="1"/>
  <c r="U15" i="19" s="1"/>
  <c r="V15" i="19" s="1"/>
  <c r="W15" i="19" s="1"/>
  <c r="X15" i="19" s="1"/>
  <c r="Y15" i="19" s="1"/>
  <c r="Z15" i="19" s="1"/>
  <c r="AA15" i="19" s="1"/>
  <c r="AB15" i="19" s="1"/>
  <c r="AC15" i="19" s="1"/>
  <c r="AD15" i="19" s="1"/>
  <c r="AE15" i="19" s="1"/>
  <c r="AF15" i="19" s="1"/>
  <c r="AG15" i="19" s="1"/>
  <c r="AH15" i="19" s="1"/>
  <c r="AI15" i="19" s="1"/>
  <c r="AJ15" i="19" s="1"/>
  <c r="AK15" i="19" s="1"/>
  <c r="AL15" i="19" s="1"/>
  <c r="AM15" i="19" s="1"/>
  <c r="AN15" i="19" s="1"/>
  <c r="AO15" i="19" s="1"/>
  <c r="AP15" i="19" s="1"/>
  <c r="AQ15" i="19" s="1"/>
  <c r="AR15" i="19" s="1"/>
  <c r="AS15" i="19" s="1"/>
  <c r="AT15" i="19" s="1"/>
  <c r="AU15" i="19" s="1"/>
  <c r="AV15" i="19" s="1"/>
  <c r="AW15" i="19" s="1"/>
  <c r="AX15" i="19" s="1"/>
  <c r="AY15" i="19" s="1"/>
  <c r="AZ15" i="19" s="1"/>
  <c r="BA15" i="19" s="1"/>
  <c r="BB15" i="19" s="1"/>
  <c r="BC15" i="19" s="1"/>
  <c r="BD15" i="19" s="1"/>
  <c r="BE15" i="19" s="1"/>
  <c r="BF15" i="19" s="1"/>
  <c r="BG15" i="19" s="1"/>
  <c r="BH15" i="19" s="1"/>
  <c r="BI15" i="19" s="1"/>
  <c r="BJ15" i="19" s="1"/>
  <c r="BK15" i="19" s="1"/>
  <c r="BL15" i="19" s="1"/>
  <c r="BM15" i="19" s="1"/>
  <c r="BN15" i="19" s="1"/>
  <c r="BO15" i="19" s="1"/>
  <c r="BP15" i="19" s="1"/>
  <c r="BQ15" i="19" s="1"/>
  <c r="BR15" i="19" s="1"/>
  <c r="BS15" i="19" s="1"/>
  <c r="BT15" i="19" s="1"/>
  <c r="BU15" i="19" s="1"/>
  <c r="BV15" i="19" s="1"/>
  <c r="BW15" i="19" s="1"/>
  <c r="BX15" i="19" s="1"/>
  <c r="BY15" i="19" s="1"/>
  <c r="BZ15" i="19" s="1"/>
  <c r="CA15" i="19" s="1"/>
  <c r="CB15" i="19" s="1"/>
  <c r="CC15" i="19" s="1"/>
  <c r="CD15" i="19" s="1"/>
  <c r="CE15" i="19" s="1"/>
  <c r="CF15" i="19" s="1"/>
  <c r="CG15" i="19" s="1"/>
  <c r="CH15" i="19" s="1"/>
  <c r="P14" i="19"/>
  <c r="AB14" i="19" s="1"/>
  <c r="AN14" i="19" s="1"/>
  <c r="AZ14" i="19" s="1"/>
  <c r="BL14" i="19" s="1"/>
  <c r="BX14" i="19" s="1"/>
  <c r="BL13" i="19"/>
  <c r="G27" i="9"/>
  <c r="F45" i="14" s="1"/>
  <c r="H27" i="9"/>
  <c r="G45" i="14" s="1"/>
  <c r="I27" i="9"/>
  <c r="H45" i="14" s="1"/>
  <c r="J27" i="9"/>
  <c r="I45" i="14" s="1"/>
  <c r="K27" i="9"/>
  <c r="L27" i="9"/>
  <c r="E207" i="11"/>
  <c r="C207" i="11"/>
  <c r="F202" i="11"/>
  <c r="E202" i="11"/>
  <c r="C202" i="11"/>
  <c r="F201" i="11"/>
  <c r="E201" i="11"/>
  <c r="C201" i="11"/>
  <c r="F200" i="11"/>
  <c r="C200" i="11"/>
  <c r="I104" i="11"/>
  <c r="H104" i="11"/>
  <c r="H208" i="11" s="1"/>
  <c r="H216" i="11" s="1"/>
  <c r="G104" i="11"/>
  <c r="G208" i="11" s="1"/>
  <c r="G216" i="11" s="1"/>
  <c r="F101" i="11"/>
  <c r="E101" i="11"/>
  <c r="C101" i="11"/>
  <c r="C96" i="11"/>
  <c r="T23" i="11"/>
  <c r="S23" i="11"/>
  <c r="R23" i="11"/>
  <c r="P23" i="11"/>
  <c r="O23" i="11"/>
  <c r="N23" i="11"/>
  <c r="L23" i="11"/>
  <c r="K23" i="11"/>
  <c r="J23" i="11"/>
  <c r="H23" i="11"/>
  <c r="G23" i="11"/>
  <c r="F24" i="11"/>
  <c r="C24" i="11"/>
  <c r="U23" i="11"/>
  <c r="Q23" i="11"/>
  <c r="M23" i="11"/>
  <c r="I23" i="11"/>
  <c r="F22" i="11"/>
  <c r="E22" i="11"/>
  <c r="C22" i="11" s="1"/>
  <c r="F21" i="11"/>
  <c r="E21" i="11"/>
  <c r="C21" i="11" s="1"/>
  <c r="F20" i="11"/>
  <c r="E20" i="11"/>
  <c r="C20" i="11" s="1"/>
  <c r="F19" i="11"/>
  <c r="E19" i="11"/>
  <c r="F18" i="11"/>
  <c r="E18" i="11"/>
  <c r="F17" i="11"/>
  <c r="F16" i="11"/>
  <c r="E16" i="11"/>
  <c r="C16" i="11" s="1"/>
  <c r="F15" i="11"/>
  <c r="E15" i="11"/>
  <c r="C15" i="11" s="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D14" i="11"/>
  <c r="A13" i="11"/>
  <c r="I12" i="11"/>
  <c r="J12" i="11" s="1"/>
  <c r="K12" i="11" s="1"/>
  <c r="L12" i="11" s="1"/>
  <c r="M12" i="11" s="1"/>
  <c r="N12" i="11" s="1"/>
  <c r="O12" i="11" s="1"/>
  <c r="P12" i="11" s="1"/>
  <c r="Q12" i="11" s="1"/>
  <c r="R12" i="11" s="1"/>
  <c r="S12" i="11" s="1"/>
  <c r="T12" i="11" s="1"/>
  <c r="U12" i="11" s="1"/>
  <c r="V12" i="11" s="1"/>
  <c r="C12" i="11"/>
  <c r="B12" i="11"/>
  <c r="A12" i="11"/>
  <c r="H10" i="11"/>
  <c r="I10" i="11" s="1"/>
  <c r="J10" i="11" s="1"/>
  <c r="K10" i="11" s="1"/>
  <c r="L10" i="11" s="1"/>
  <c r="M10" i="11" s="1"/>
  <c r="N10" i="11" s="1"/>
  <c r="O10" i="11" s="1"/>
  <c r="P10" i="11" s="1"/>
  <c r="Q10" i="11" s="1"/>
  <c r="R10" i="11" s="1"/>
  <c r="S10" i="11" s="1"/>
  <c r="T10" i="11" s="1"/>
  <c r="U10" i="11" s="1"/>
  <c r="I208" i="11" l="1"/>
  <c r="I216" i="11" s="1"/>
  <c r="F104" i="11"/>
  <c r="Q117" i="25"/>
  <c r="R116" i="25"/>
  <c r="T116" i="25" s="1"/>
  <c r="D93" i="26"/>
  <c r="C94" i="26"/>
  <c r="M93" i="26"/>
  <c r="N93" i="26"/>
  <c r="T117" i="26"/>
  <c r="U117" i="26"/>
  <c r="X203" i="26"/>
  <c r="Y202" i="26"/>
  <c r="AH237" i="26"/>
  <c r="AI237" i="26"/>
  <c r="Q119" i="26"/>
  <c r="R118" i="26"/>
  <c r="J95" i="26"/>
  <c r="K94" i="26"/>
  <c r="AA201" i="26"/>
  <c r="AB201" i="26"/>
  <c r="AK201" i="26" s="1"/>
  <c r="AE239" i="26"/>
  <c r="AF238" i="26"/>
  <c r="AH237" i="25"/>
  <c r="AI237" i="25"/>
  <c r="F93" i="25"/>
  <c r="G93" i="25"/>
  <c r="AE239" i="25"/>
  <c r="AF238" i="25"/>
  <c r="D94" i="25"/>
  <c r="C95" i="25"/>
  <c r="K95" i="25"/>
  <c r="M95" i="25" s="1"/>
  <c r="J96" i="25"/>
  <c r="X203" i="25"/>
  <c r="Y202" i="25"/>
  <c r="J347" i="25"/>
  <c r="M94" i="25"/>
  <c r="AA201" i="25"/>
  <c r="AB201" i="25"/>
  <c r="AK201" i="25" s="1"/>
  <c r="X203" i="24"/>
  <c r="Y202" i="24"/>
  <c r="T105" i="24"/>
  <c r="U105" i="24"/>
  <c r="J95" i="24"/>
  <c r="K94" i="24"/>
  <c r="AA201" i="24"/>
  <c r="AB201" i="24"/>
  <c r="AK201" i="24" s="1"/>
  <c r="Q107" i="24"/>
  <c r="R106" i="24"/>
  <c r="M93" i="24"/>
  <c r="N93" i="24"/>
  <c r="AE239" i="24"/>
  <c r="AF238" i="24"/>
  <c r="F93" i="24"/>
  <c r="G93" i="24"/>
  <c r="AH237" i="24"/>
  <c r="AI237" i="24"/>
  <c r="D94" i="24"/>
  <c r="C95" i="24"/>
  <c r="AA201" i="23"/>
  <c r="AB201" i="23"/>
  <c r="AK201" i="23" s="1"/>
  <c r="M93" i="23"/>
  <c r="N93" i="23"/>
  <c r="AH237" i="23"/>
  <c r="AI237" i="23"/>
  <c r="Y202" i="23"/>
  <c r="X203" i="23"/>
  <c r="J95" i="23"/>
  <c r="K94" i="23"/>
  <c r="AF238" i="23"/>
  <c r="AE239" i="23"/>
  <c r="Q107" i="23"/>
  <c r="R106" i="23"/>
  <c r="T105" i="23"/>
  <c r="U105" i="23"/>
  <c r="C94" i="23"/>
  <c r="D93" i="23"/>
  <c r="W47" i="16"/>
  <c r="F47" i="14"/>
  <c r="F48" i="14" s="1"/>
  <c r="G28" i="9" s="1"/>
  <c r="G47" i="14"/>
  <c r="G48" i="14" s="1"/>
  <c r="H28" i="9" s="1"/>
  <c r="H47" i="14"/>
  <c r="H48" i="14" s="1"/>
  <c r="I28" i="9" s="1"/>
  <c r="J45" i="14"/>
  <c r="I47" i="14"/>
  <c r="I48" i="14" s="1"/>
  <c r="J28" i="9" s="1"/>
  <c r="T49" i="16"/>
  <c r="V48" i="16"/>
  <c r="W48" i="16" s="1"/>
  <c r="U50" i="16"/>
  <c r="F14" i="11"/>
  <c r="J104" i="11"/>
  <c r="J208" i="11" s="1"/>
  <c r="J216" i="11" s="1"/>
  <c r="F14" i="19"/>
  <c r="E23" i="11"/>
  <c r="I102" i="11"/>
  <c r="M102" i="11"/>
  <c r="Q102" i="11"/>
  <c r="U102" i="11"/>
  <c r="F23" i="11"/>
  <c r="F102" i="11" s="1"/>
  <c r="G102" i="11"/>
  <c r="K102" i="11"/>
  <c r="O102" i="11"/>
  <c r="S102" i="11"/>
  <c r="U104" i="11"/>
  <c r="U208" i="11" s="1"/>
  <c r="U216" i="11" s="1"/>
  <c r="J102" i="11"/>
  <c r="N102" i="11"/>
  <c r="R102" i="11"/>
  <c r="H102" i="11"/>
  <c r="L102" i="11"/>
  <c r="P102" i="11"/>
  <c r="T102" i="11"/>
  <c r="E14" i="11"/>
  <c r="D23" i="11"/>
  <c r="Q118" i="25" l="1"/>
  <c r="R117" i="25"/>
  <c r="T117" i="25" s="1"/>
  <c r="AE240" i="26"/>
  <c r="AF239" i="26"/>
  <c r="AH239" i="26" s="1"/>
  <c r="K95" i="26"/>
  <c r="M95" i="26" s="1"/>
  <c r="J96" i="26"/>
  <c r="F93" i="26"/>
  <c r="G93" i="26"/>
  <c r="AH238" i="26"/>
  <c r="M94" i="26"/>
  <c r="C95" i="26"/>
  <c r="D94" i="26"/>
  <c r="Q120" i="26"/>
  <c r="R119" i="26"/>
  <c r="T119" i="26" s="1"/>
  <c r="X204" i="26"/>
  <c r="Y203" i="26"/>
  <c r="AA203" i="26" s="1"/>
  <c r="T118" i="26"/>
  <c r="AA202" i="26"/>
  <c r="J347" i="26"/>
  <c r="F94" i="25"/>
  <c r="K96" i="25"/>
  <c r="M96" i="25" s="1"/>
  <c r="J97" i="25"/>
  <c r="D95" i="25"/>
  <c r="F95" i="25" s="1"/>
  <c r="C96" i="25"/>
  <c r="X204" i="25"/>
  <c r="Y203" i="25"/>
  <c r="AA203" i="25" s="1"/>
  <c r="AE240" i="25"/>
  <c r="AF239" i="25"/>
  <c r="AH239" i="25" s="1"/>
  <c r="AA202" i="25"/>
  <c r="AH238" i="25"/>
  <c r="J346" i="25"/>
  <c r="AK93" i="25"/>
  <c r="AE240" i="24"/>
  <c r="AF239" i="24"/>
  <c r="AH239" i="24" s="1"/>
  <c r="Q108" i="24"/>
  <c r="R107" i="24"/>
  <c r="T107" i="24" s="1"/>
  <c r="K95" i="24"/>
  <c r="M95" i="24" s="1"/>
  <c r="J96" i="24"/>
  <c r="X204" i="24"/>
  <c r="Y203" i="24"/>
  <c r="AA203" i="24" s="1"/>
  <c r="T106" i="24"/>
  <c r="M94" i="24"/>
  <c r="AA202" i="24"/>
  <c r="AH238" i="24"/>
  <c r="F94" i="24"/>
  <c r="D95" i="24"/>
  <c r="F95" i="24" s="1"/>
  <c r="C96" i="24"/>
  <c r="J346" i="24"/>
  <c r="AK93" i="24"/>
  <c r="J347" i="24"/>
  <c r="D94" i="23"/>
  <c r="C95" i="23"/>
  <c r="Q108" i="23"/>
  <c r="R107" i="23"/>
  <c r="T107" i="23" s="1"/>
  <c r="J96" i="23"/>
  <c r="K95" i="23"/>
  <c r="M95" i="23" s="1"/>
  <c r="AH238" i="23"/>
  <c r="AA202" i="23"/>
  <c r="F93" i="23"/>
  <c r="G93" i="23"/>
  <c r="T106" i="23"/>
  <c r="M94" i="23"/>
  <c r="AF239" i="23"/>
  <c r="AH239" i="23" s="1"/>
  <c r="AE240" i="23"/>
  <c r="Y203" i="23"/>
  <c r="AA203" i="23" s="1"/>
  <c r="X204" i="23"/>
  <c r="J347" i="23"/>
  <c r="J47" i="14"/>
  <c r="J48" i="14" s="1"/>
  <c r="K28" i="9" s="1"/>
  <c r="T50" i="16"/>
  <c r="V49" i="16"/>
  <c r="W49" i="16" s="1"/>
  <c r="U51" i="16"/>
  <c r="C23" i="11"/>
  <c r="D102" i="11"/>
  <c r="G14" i="19"/>
  <c r="R14" i="19"/>
  <c r="AD14" i="19" s="1"/>
  <c r="AP14" i="19" s="1"/>
  <c r="BB14" i="19" s="1"/>
  <c r="BN14" i="19" s="1"/>
  <c r="BZ14" i="19" s="1"/>
  <c r="C102" i="11"/>
  <c r="D104" i="11"/>
  <c r="E102" i="11"/>
  <c r="C14" i="11"/>
  <c r="L104" i="11"/>
  <c r="L208" i="11" s="1"/>
  <c r="L216" i="11" s="1"/>
  <c r="U117" i="25" l="1"/>
  <c r="Q119" i="25"/>
  <c r="R118" i="25"/>
  <c r="T118" i="25" s="1"/>
  <c r="X205" i="26"/>
  <c r="Y204" i="26"/>
  <c r="D95" i="26"/>
  <c r="F95" i="26" s="1"/>
  <c r="C96" i="26"/>
  <c r="Q121" i="26"/>
  <c r="R120" i="26"/>
  <c r="AE241" i="26"/>
  <c r="AF240" i="26"/>
  <c r="AH240" i="26" s="1"/>
  <c r="J346" i="26"/>
  <c r="AK93" i="26"/>
  <c r="F94" i="26"/>
  <c r="J97" i="26"/>
  <c r="K96" i="26"/>
  <c r="AE241" i="25"/>
  <c r="AF240" i="25"/>
  <c r="AH240" i="25" s="1"/>
  <c r="K97" i="25"/>
  <c r="M97" i="25" s="1"/>
  <c r="J98" i="25"/>
  <c r="X205" i="25"/>
  <c r="Y204" i="25"/>
  <c r="D96" i="25"/>
  <c r="C97" i="25"/>
  <c r="AE241" i="24"/>
  <c r="AF240" i="24"/>
  <c r="AH240" i="24" s="1"/>
  <c r="K96" i="24"/>
  <c r="M96" i="24" s="1"/>
  <c r="J97" i="24"/>
  <c r="X205" i="24"/>
  <c r="Y204" i="24"/>
  <c r="R108" i="24"/>
  <c r="Q109" i="24"/>
  <c r="D96" i="24"/>
  <c r="C97" i="24"/>
  <c r="K96" i="23"/>
  <c r="M96" i="23" s="1"/>
  <c r="J97" i="23"/>
  <c r="F94" i="23"/>
  <c r="C96" i="23"/>
  <c r="D95" i="23"/>
  <c r="F95" i="23" s="1"/>
  <c r="R108" i="23"/>
  <c r="Q109" i="23"/>
  <c r="AF240" i="23"/>
  <c r="AH240" i="23" s="1"/>
  <c r="AE241" i="23"/>
  <c r="Y204" i="23"/>
  <c r="X205" i="23"/>
  <c r="J346" i="23"/>
  <c r="AK93" i="23"/>
  <c r="T51" i="16"/>
  <c r="V50" i="16"/>
  <c r="W50" i="16" s="1"/>
  <c r="U52" i="16"/>
  <c r="H14" i="19"/>
  <c r="S14" i="19"/>
  <c r="AE14" i="19" s="1"/>
  <c r="AQ14" i="19" s="1"/>
  <c r="BC14" i="19" s="1"/>
  <c r="BO14" i="19" s="1"/>
  <c r="CA14" i="19" s="1"/>
  <c r="K104" i="11"/>
  <c r="M104" i="11"/>
  <c r="M208" i="11" s="1"/>
  <c r="M216" i="11" s="1"/>
  <c r="D208" i="11"/>
  <c r="D216" i="11" s="1"/>
  <c r="K208" i="11" l="1"/>
  <c r="K216" i="11" s="1"/>
  <c r="R119" i="25"/>
  <c r="T119" i="25" s="1"/>
  <c r="Q120" i="25"/>
  <c r="K97" i="26"/>
  <c r="M97" i="26" s="1"/>
  <c r="J98" i="26"/>
  <c r="X206" i="26"/>
  <c r="Y205" i="26"/>
  <c r="AA205" i="26" s="1"/>
  <c r="M96" i="26"/>
  <c r="Q122" i="26"/>
  <c r="R121" i="26"/>
  <c r="T121" i="26" s="1"/>
  <c r="T120" i="26"/>
  <c r="AA204" i="26"/>
  <c r="AE242" i="26"/>
  <c r="AF241" i="26"/>
  <c r="C97" i="26"/>
  <c r="D96" i="26"/>
  <c r="F96" i="25"/>
  <c r="X206" i="25"/>
  <c r="Y205" i="25"/>
  <c r="AA205" i="25" s="1"/>
  <c r="AE242" i="25"/>
  <c r="AF241" i="25"/>
  <c r="AH241" i="25" s="1"/>
  <c r="D97" i="25"/>
  <c r="F97" i="25" s="1"/>
  <c r="C98" i="25"/>
  <c r="AA204" i="25"/>
  <c r="K98" i="25"/>
  <c r="J99" i="25"/>
  <c r="D97" i="24"/>
  <c r="F97" i="24" s="1"/>
  <c r="C98" i="24"/>
  <c r="K97" i="24"/>
  <c r="M97" i="24" s="1"/>
  <c r="J98" i="24"/>
  <c r="T108" i="24"/>
  <c r="Q110" i="24"/>
  <c r="R109" i="24"/>
  <c r="T109" i="24" s="1"/>
  <c r="X206" i="24"/>
  <c r="Y205" i="24"/>
  <c r="AA205" i="24" s="1"/>
  <c r="AE242" i="24"/>
  <c r="AF241" i="24"/>
  <c r="F96" i="24"/>
  <c r="AA204" i="24"/>
  <c r="D96" i="23"/>
  <c r="F96" i="23" s="1"/>
  <c r="C97" i="23"/>
  <c r="AF241" i="23"/>
  <c r="AE242" i="23"/>
  <c r="T108" i="23"/>
  <c r="Y205" i="23"/>
  <c r="AA205" i="23" s="1"/>
  <c r="X206" i="23"/>
  <c r="J98" i="23"/>
  <c r="K97" i="23"/>
  <c r="M97" i="23" s="1"/>
  <c r="AA204" i="23"/>
  <c r="Q110" i="23"/>
  <c r="R109" i="23"/>
  <c r="T109" i="23" s="1"/>
  <c r="T52" i="16"/>
  <c r="V51" i="16"/>
  <c r="U53" i="16"/>
  <c r="I14" i="19"/>
  <c r="T14" i="19"/>
  <c r="AF14" i="19" s="1"/>
  <c r="AR14" i="19" s="1"/>
  <c r="BD14" i="19" s="1"/>
  <c r="BP14" i="19" s="1"/>
  <c r="CB14" i="19" s="1"/>
  <c r="N104" i="11"/>
  <c r="N208" i="11" s="1"/>
  <c r="N216" i="11" s="1"/>
  <c r="Q121" i="25" l="1"/>
  <c r="R120" i="25"/>
  <c r="T120" i="25" s="1"/>
  <c r="D97" i="26"/>
  <c r="F97" i="26" s="1"/>
  <c r="C98" i="26"/>
  <c r="J99" i="26"/>
  <c r="K98" i="26"/>
  <c r="M98" i="26" s="1"/>
  <c r="AE243" i="26"/>
  <c r="AF242" i="26"/>
  <c r="AH242" i="26" s="1"/>
  <c r="X207" i="26"/>
  <c r="Y206" i="26"/>
  <c r="Q123" i="26"/>
  <c r="R122" i="26"/>
  <c r="T122" i="26" s="1"/>
  <c r="F96" i="26"/>
  <c r="AH241" i="26"/>
  <c r="K99" i="25"/>
  <c r="M99" i="25" s="1"/>
  <c r="J100" i="25"/>
  <c r="AE243" i="25"/>
  <c r="AF242" i="25"/>
  <c r="X207" i="25"/>
  <c r="Y206" i="25"/>
  <c r="M98" i="25"/>
  <c r="D98" i="25"/>
  <c r="C99" i="25"/>
  <c r="X207" i="24"/>
  <c r="Y206" i="24"/>
  <c r="D98" i="24"/>
  <c r="F98" i="24" s="1"/>
  <c r="C99" i="24"/>
  <c r="AE243" i="24"/>
  <c r="AF242" i="24"/>
  <c r="AH242" i="24" s="1"/>
  <c r="R110" i="24"/>
  <c r="Q111" i="24"/>
  <c r="AH241" i="24"/>
  <c r="K98" i="24"/>
  <c r="J99" i="24"/>
  <c r="AH241" i="23"/>
  <c r="AF242" i="23"/>
  <c r="AH242" i="23" s="1"/>
  <c r="AE243" i="23"/>
  <c r="C98" i="23"/>
  <c r="D97" i="23"/>
  <c r="Y206" i="23"/>
  <c r="AA206" i="23" s="1"/>
  <c r="X207" i="23"/>
  <c r="R110" i="23"/>
  <c r="T110" i="23" s="1"/>
  <c r="Q111" i="23"/>
  <c r="K98" i="23"/>
  <c r="J99" i="23"/>
  <c r="W51" i="16"/>
  <c r="X51" i="16"/>
  <c r="T53" i="16"/>
  <c r="V52" i="16"/>
  <c r="U54" i="16"/>
  <c r="U14" i="19"/>
  <c r="AG14" i="19" s="1"/>
  <c r="AS14" i="19" s="1"/>
  <c r="BE14" i="19" s="1"/>
  <c r="BQ14" i="19" s="1"/>
  <c r="CC14" i="19" s="1"/>
  <c r="J14" i="19"/>
  <c r="Q122" i="25" l="1"/>
  <c r="R121" i="25"/>
  <c r="T121" i="25" s="1"/>
  <c r="C99" i="26"/>
  <c r="D98" i="26"/>
  <c r="F98" i="26" s="1"/>
  <c r="X208" i="26"/>
  <c r="Y207" i="26"/>
  <c r="AA207" i="26" s="1"/>
  <c r="K99" i="26"/>
  <c r="J100" i="26"/>
  <c r="Q124" i="26"/>
  <c r="R123" i="26"/>
  <c r="T123" i="26" s="1"/>
  <c r="AE244" i="26"/>
  <c r="AF243" i="26"/>
  <c r="AA206" i="26"/>
  <c r="X208" i="25"/>
  <c r="Y207" i="25"/>
  <c r="AA207" i="25" s="1"/>
  <c r="F98" i="25"/>
  <c r="AE244" i="25"/>
  <c r="AF243" i="25"/>
  <c r="AH243" i="25" s="1"/>
  <c r="AA206" i="25"/>
  <c r="K100" i="25"/>
  <c r="M100" i="25" s="1"/>
  <c r="J101" i="25"/>
  <c r="D99" i="25"/>
  <c r="F99" i="25" s="1"/>
  <c r="C100" i="25"/>
  <c r="AH242" i="25"/>
  <c r="K99" i="24"/>
  <c r="M99" i="24" s="1"/>
  <c r="J100" i="24"/>
  <c r="Q112" i="24"/>
  <c r="R111" i="24"/>
  <c r="T111" i="24" s="1"/>
  <c r="D99" i="24"/>
  <c r="C100" i="24"/>
  <c r="X208" i="24"/>
  <c r="Y207" i="24"/>
  <c r="AA207" i="24" s="1"/>
  <c r="AE244" i="24"/>
  <c r="AF243" i="24"/>
  <c r="AA206" i="24"/>
  <c r="M98" i="24"/>
  <c r="T110" i="24"/>
  <c r="D98" i="23"/>
  <c r="F98" i="23" s="1"/>
  <c r="C99" i="23"/>
  <c r="F97" i="23"/>
  <c r="J100" i="23"/>
  <c r="K99" i="23"/>
  <c r="M99" i="23" s="1"/>
  <c r="Q112" i="23"/>
  <c r="R111" i="23"/>
  <c r="M98" i="23"/>
  <c r="Y207" i="23"/>
  <c r="X208" i="23"/>
  <c r="AF243" i="23"/>
  <c r="AE244" i="23"/>
  <c r="W52" i="16"/>
  <c r="T54" i="16"/>
  <c r="V53" i="16"/>
  <c r="W53" i="16" s="1"/>
  <c r="U55" i="16"/>
  <c r="V14" i="19"/>
  <c r="AH14" i="19" s="1"/>
  <c r="AT14" i="19" s="1"/>
  <c r="BF14" i="19" s="1"/>
  <c r="BR14" i="19" s="1"/>
  <c r="CD14" i="19" s="1"/>
  <c r="K14" i="19"/>
  <c r="O104" i="11"/>
  <c r="P104" i="11"/>
  <c r="P208" i="11" s="1"/>
  <c r="P216" i="11" s="1"/>
  <c r="O208" i="11" l="1"/>
  <c r="O216" i="11" s="1"/>
  <c r="Q123" i="25"/>
  <c r="R122" i="25"/>
  <c r="T122" i="25" s="1"/>
  <c r="M99" i="26"/>
  <c r="AH243" i="26"/>
  <c r="J101" i="26"/>
  <c r="K100" i="26"/>
  <c r="M100" i="26" s="1"/>
  <c r="R124" i="26"/>
  <c r="Q125" i="26"/>
  <c r="X209" i="26"/>
  <c r="Y208" i="26"/>
  <c r="AE245" i="26"/>
  <c r="AF244" i="26"/>
  <c r="AH244" i="26" s="1"/>
  <c r="D99" i="26"/>
  <c r="C100" i="26"/>
  <c r="AE245" i="25"/>
  <c r="AF244" i="25"/>
  <c r="X209" i="25"/>
  <c r="Y208" i="25"/>
  <c r="K101" i="25"/>
  <c r="M101" i="25" s="1"/>
  <c r="J102" i="25"/>
  <c r="D100" i="25"/>
  <c r="F100" i="25" s="1"/>
  <c r="C101" i="25"/>
  <c r="AE245" i="24"/>
  <c r="AF244" i="24"/>
  <c r="AH244" i="24" s="1"/>
  <c r="F99" i="24"/>
  <c r="AH243" i="24"/>
  <c r="D100" i="24"/>
  <c r="F100" i="24" s="1"/>
  <c r="C101" i="24"/>
  <c r="X209" i="24"/>
  <c r="Y208" i="24"/>
  <c r="R112" i="24"/>
  <c r="Q113" i="24"/>
  <c r="K100" i="24"/>
  <c r="J101" i="24"/>
  <c r="AH243" i="23"/>
  <c r="AF244" i="23"/>
  <c r="AH244" i="23" s="1"/>
  <c r="AE245" i="23"/>
  <c r="K100" i="23"/>
  <c r="J101" i="23"/>
  <c r="C100" i="23"/>
  <c r="D99" i="23"/>
  <c r="F99" i="23" s="1"/>
  <c r="AA207" i="23"/>
  <c r="R112" i="23"/>
  <c r="T112" i="23" s="1"/>
  <c r="Q113" i="23"/>
  <c r="Y208" i="23"/>
  <c r="AA208" i="23" s="1"/>
  <c r="X209" i="23"/>
  <c r="T111" i="23"/>
  <c r="T55" i="16"/>
  <c r="V54" i="16"/>
  <c r="U56" i="16"/>
  <c r="W14" i="19"/>
  <c r="AI14" i="19" s="1"/>
  <c r="AU14" i="19" s="1"/>
  <c r="BG14" i="19" s="1"/>
  <c r="BS14" i="19" s="1"/>
  <c r="CE14" i="19" s="1"/>
  <c r="L14" i="19"/>
  <c r="R123" i="25" l="1"/>
  <c r="T123" i="25" s="1"/>
  <c r="Q124" i="25"/>
  <c r="X210" i="26"/>
  <c r="Y209" i="26"/>
  <c r="AA209" i="26" s="1"/>
  <c r="AA208" i="26"/>
  <c r="T124" i="26"/>
  <c r="F99" i="26"/>
  <c r="K101" i="26"/>
  <c r="M101" i="26" s="1"/>
  <c r="J102" i="26"/>
  <c r="C101" i="26"/>
  <c r="D100" i="26"/>
  <c r="F100" i="26" s="1"/>
  <c r="AE246" i="26"/>
  <c r="AF245" i="26"/>
  <c r="AH245" i="26" s="1"/>
  <c r="R125" i="26"/>
  <c r="T125" i="26" s="1"/>
  <c r="Q126" i="26"/>
  <c r="X210" i="25"/>
  <c r="Y209" i="25"/>
  <c r="AA209" i="25" s="1"/>
  <c r="AE246" i="25"/>
  <c r="AF245" i="25"/>
  <c r="AH245" i="25" s="1"/>
  <c r="AA208" i="25"/>
  <c r="AH244" i="25"/>
  <c r="D101" i="25"/>
  <c r="F101" i="25" s="1"/>
  <c r="C102" i="25"/>
  <c r="K102" i="25"/>
  <c r="M102" i="25" s="1"/>
  <c r="J103" i="25"/>
  <c r="M100" i="24"/>
  <c r="X210" i="24"/>
  <c r="Y209" i="24"/>
  <c r="AA209" i="24" s="1"/>
  <c r="AE246" i="24"/>
  <c r="AF245" i="24"/>
  <c r="AA208" i="24"/>
  <c r="T112" i="24"/>
  <c r="J102" i="24"/>
  <c r="K101" i="24"/>
  <c r="M101" i="24" s="1"/>
  <c r="Q114" i="24"/>
  <c r="R113" i="24"/>
  <c r="T113" i="24" s="1"/>
  <c r="D101" i="24"/>
  <c r="F101" i="24" s="1"/>
  <c r="C102" i="24"/>
  <c r="M100" i="23"/>
  <c r="Y209" i="23"/>
  <c r="AA209" i="23" s="1"/>
  <c r="X210" i="23"/>
  <c r="J102" i="23"/>
  <c r="K101" i="23"/>
  <c r="M101" i="23" s="1"/>
  <c r="D100" i="23"/>
  <c r="C101" i="23"/>
  <c r="Q114" i="23"/>
  <c r="R113" i="23"/>
  <c r="T113" i="23" s="1"/>
  <c r="AF245" i="23"/>
  <c r="AE246" i="23"/>
  <c r="W54" i="16"/>
  <c r="T56" i="16"/>
  <c r="V55" i="16"/>
  <c r="W55" i="16" s="1"/>
  <c r="U57" i="16"/>
  <c r="X14" i="19"/>
  <c r="AJ14" i="19" s="1"/>
  <c r="AV14" i="19" s="1"/>
  <c r="BH14" i="19" s="1"/>
  <c r="BT14" i="19" s="1"/>
  <c r="CF14" i="19" s="1"/>
  <c r="M14" i="19"/>
  <c r="Y14" i="19" s="1"/>
  <c r="AK14" i="19" s="1"/>
  <c r="AW14" i="19" s="1"/>
  <c r="BI14" i="19" s="1"/>
  <c r="BU14" i="19" s="1"/>
  <c r="CG14" i="19" s="1"/>
  <c r="R104" i="11"/>
  <c r="R208" i="11" s="1"/>
  <c r="R216" i="11" s="1"/>
  <c r="Q104" i="11"/>
  <c r="Q208" i="11" s="1"/>
  <c r="Q216" i="11" s="1"/>
  <c r="Q125" i="25" l="1"/>
  <c r="R124" i="25"/>
  <c r="T124" i="25" s="1"/>
  <c r="R126" i="26"/>
  <c r="T126" i="26" s="1"/>
  <c r="Q127" i="26"/>
  <c r="X211" i="26"/>
  <c r="Y210" i="26"/>
  <c r="AA210" i="26" s="1"/>
  <c r="AE247" i="26"/>
  <c r="AF246" i="26"/>
  <c r="AH246" i="26" s="1"/>
  <c r="J103" i="26"/>
  <c r="K102" i="26"/>
  <c r="M102" i="26" s="1"/>
  <c r="D101" i="26"/>
  <c r="F101" i="26" s="1"/>
  <c r="C102" i="26"/>
  <c r="D102" i="25"/>
  <c r="F102" i="25" s="1"/>
  <c r="C103" i="25"/>
  <c r="X211" i="25"/>
  <c r="Y210" i="25"/>
  <c r="AE247" i="25"/>
  <c r="AF246" i="25"/>
  <c r="AH246" i="25" s="1"/>
  <c r="K103" i="25"/>
  <c r="M103" i="25" s="1"/>
  <c r="J104" i="25"/>
  <c r="R114" i="24"/>
  <c r="T114" i="24" s="1"/>
  <c r="Q115" i="24"/>
  <c r="AE247" i="24"/>
  <c r="AF246" i="24"/>
  <c r="AH246" i="24" s="1"/>
  <c r="AH245" i="24"/>
  <c r="K102" i="24"/>
  <c r="M102" i="24" s="1"/>
  <c r="J103" i="24"/>
  <c r="X211" i="24"/>
  <c r="Y210" i="24"/>
  <c r="D102" i="24"/>
  <c r="F102" i="24" s="1"/>
  <c r="C103" i="24"/>
  <c r="C102" i="23"/>
  <c r="D101" i="23"/>
  <c r="F101" i="23" s="1"/>
  <c r="R114" i="23"/>
  <c r="T114" i="23" s="1"/>
  <c r="Q115" i="23"/>
  <c r="K102" i="23"/>
  <c r="M102" i="23" s="1"/>
  <c r="J103" i="23"/>
  <c r="AF246" i="23"/>
  <c r="AH246" i="23" s="1"/>
  <c r="AE247" i="23"/>
  <c r="AH245" i="23"/>
  <c r="F100" i="23"/>
  <c r="Y210" i="23"/>
  <c r="AA210" i="23" s="1"/>
  <c r="X211" i="23"/>
  <c r="T57" i="16"/>
  <c r="V56" i="16"/>
  <c r="U58" i="16"/>
  <c r="S104" i="11"/>
  <c r="S208" i="11" l="1"/>
  <c r="S216" i="11" s="1"/>
  <c r="W104" i="11"/>
  <c r="R125" i="25"/>
  <c r="T125" i="25" s="1"/>
  <c r="Q126" i="25"/>
  <c r="AE248" i="26"/>
  <c r="AF247" i="26"/>
  <c r="AH247" i="26" s="1"/>
  <c r="R127" i="26"/>
  <c r="T127" i="26" s="1"/>
  <c r="Q128" i="26"/>
  <c r="C103" i="26"/>
  <c r="D102" i="26"/>
  <c r="F102" i="26" s="1"/>
  <c r="X212" i="26"/>
  <c r="Y211" i="26"/>
  <c r="AA211" i="26" s="1"/>
  <c r="K103" i="26"/>
  <c r="M103" i="26" s="1"/>
  <c r="J104" i="26"/>
  <c r="AE248" i="25"/>
  <c r="AF247" i="25"/>
  <c r="AH247" i="25" s="1"/>
  <c r="X212" i="25"/>
  <c r="Y211" i="25"/>
  <c r="AA211" i="25" s="1"/>
  <c r="K104" i="25"/>
  <c r="M104" i="25" s="1"/>
  <c r="J105" i="25"/>
  <c r="D103" i="25"/>
  <c r="F103" i="25" s="1"/>
  <c r="C104" i="25"/>
  <c r="AA210" i="25"/>
  <c r="X212" i="24"/>
  <c r="Y211" i="24"/>
  <c r="AA211" i="24" s="1"/>
  <c r="Q116" i="24"/>
  <c r="R115" i="24"/>
  <c r="T115" i="24" s="1"/>
  <c r="AE248" i="24"/>
  <c r="AF247" i="24"/>
  <c r="AH247" i="24" s="1"/>
  <c r="C104" i="24"/>
  <c r="D103" i="24"/>
  <c r="F103" i="24" s="1"/>
  <c r="AA210" i="24"/>
  <c r="J104" i="24"/>
  <c r="K103" i="24"/>
  <c r="M103" i="24" s="1"/>
  <c r="D102" i="23"/>
  <c r="F102" i="23" s="1"/>
  <c r="C103" i="23"/>
  <c r="Y211" i="23"/>
  <c r="AA211" i="23" s="1"/>
  <c r="X212" i="23"/>
  <c r="J104" i="23"/>
  <c r="K103" i="23"/>
  <c r="M103" i="23" s="1"/>
  <c r="AF247" i="23"/>
  <c r="AH247" i="23" s="1"/>
  <c r="AE248" i="23"/>
  <c r="Q116" i="23"/>
  <c r="R115" i="23"/>
  <c r="T115" i="23" s="1"/>
  <c r="W56" i="16"/>
  <c r="T58" i="16"/>
  <c r="V57" i="16"/>
  <c r="W57" i="16" s="1"/>
  <c r="U59" i="16"/>
  <c r="T208" i="11"/>
  <c r="T216" i="11" s="1"/>
  <c r="E104" i="11"/>
  <c r="C105" i="11"/>
  <c r="Q127" i="25" l="1"/>
  <c r="R126" i="25"/>
  <c r="T126" i="25" s="1"/>
  <c r="D103" i="26"/>
  <c r="F103" i="26" s="1"/>
  <c r="C104" i="26"/>
  <c r="AE249" i="26"/>
  <c r="AF248" i="26"/>
  <c r="AH248" i="26" s="1"/>
  <c r="J105" i="26"/>
  <c r="K104" i="26"/>
  <c r="M104" i="26" s="1"/>
  <c r="X213" i="26"/>
  <c r="Y212" i="26"/>
  <c r="AA212" i="26" s="1"/>
  <c r="R128" i="26"/>
  <c r="T128" i="26" s="1"/>
  <c r="Q129" i="26"/>
  <c r="AE249" i="25"/>
  <c r="AF248" i="25"/>
  <c r="AH248" i="25" s="1"/>
  <c r="J106" i="25"/>
  <c r="K105" i="25"/>
  <c r="X213" i="25"/>
  <c r="Y212" i="25"/>
  <c r="AA212" i="25" s="1"/>
  <c r="D104" i="25"/>
  <c r="F104" i="25" s="1"/>
  <c r="C105" i="25"/>
  <c r="AE249" i="24"/>
  <c r="AF248" i="24"/>
  <c r="AH248" i="24" s="1"/>
  <c r="X213" i="24"/>
  <c r="Y212" i="24"/>
  <c r="AA212" i="24" s="1"/>
  <c r="Q117" i="24"/>
  <c r="R116" i="24"/>
  <c r="T116" i="24" s="1"/>
  <c r="K104" i="24"/>
  <c r="M104" i="24" s="1"/>
  <c r="J105" i="24"/>
  <c r="D104" i="24"/>
  <c r="F104" i="24" s="1"/>
  <c r="C105" i="24"/>
  <c r="R116" i="23"/>
  <c r="T116" i="23" s="1"/>
  <c r="Q117" i="23"/>
  <c r="K104" i="23"/>
  <c r="M104" i="23" s="1"/>
  <c r="J105" i="23"/>
  <c r="C104" i="23"/>
  <c r="D103" i="23"/>
  <c r="F103" i="23" s="1"/>
  <c r="AE249" i="23"/>
  <c r="AF248" i="23"/>
  <c r="AH248" i="23" s="1"/>
  <c r="Y212" i="23"/>
  <c r="AA212" i="23" s="1"/>
  <c r="X213" i="23"/>
  <c r="T59" i="16"/>
  <c r="V58" i="16"/>
  <c r="U60" i="16"/>
  <c r="C208" i="11"/>
  <c r="C216" i="11" s="1"/>
  <c r="F208" i="11"/>
  <c r="F216" i="11" s="1"/>
  <c r="E208" i="11"/>
  <c r="E216" i="11" s="1"/>
  <c r="C104" i="11"/>
  <c r="R127" i="25" l="1"/>
  <c r="T127" i="25" s="1"/>
  <c r="Q128" i="25"/>
  <c r="K105" i="26"/>
  <c r="J106" i="26"/>
  <c r="R129" i="26"/>
  <c r="Q130" i="26"/>
  <c r="X214" i="26"/>
  <c r="Y213" i="26"/>
  <c r="AF249" i="26"/>
  <c r="AE250" i="26"/>
  <c r="C105" i="26"/>
  <c r="D104" i="26"/>
  <c r="F104" i="26" s="1"/>
  <c r="J107" i="25"/>
  <c r="K106" i="25"/>
  <c r="AF249" i="25"/>
  <c r="AE250" i="25"/>
  <c r="M105" i="25"/>
  <c r="N105" i="25"/>
  <c r="K347" i="25" s="1"/>
  <c r="D105" i="25"/>
  <c r="C106" i="25"/>
  <c r="X214" i="25"/>
  <c r="Y213" i="25"/>
  <c r="AE250" i="24"/>
  <c r="AF249" i="24"/>
  <c r="C106" i="24"/>
  <c r="D105" i="24"/>
  <c r="R117" i="24"/>
  <c r="Q118" i="24"/>
  <c r="X214" i="24"/>
  <c r="Y213" i="24"/>
  <c r="J106" i="24"/>
  <c r="K105" i="24"/>
  <c r="Y213" i="23"/>
  <c r="X214" i="23"/>
  <c r="AF249" i="23"/>
  <c r="AE250" i="23"/>
  <c r="D104" i="23"/>
  <c r="F104" i="23" s="1"/>
  <c r="C105" i="23"/>
  <c r="R117" i="23"/>
  <c r="Q118" i="23"/>
  <c r="K105" i="23"/>
  <c r="J106" i="23"/>
  <c r="W58" i="16"/>
  <c r="T60" i="16"/>
  <c r="V59" i="16"/>
  <c r="W59" i="16" s="1"/>
  <c r="U61" i="16"/>
  <c r="AE152" i="16"/>
  <c r="M4" i="16"/>
  <c r="AC4" i="16" s="1"/>
  <c r="Y156" i="16"/>
  <c r="AB151" i="16"/>
  <c r="AC151" i="16" s="1"/>
  <c r="AD151" i="16" s="1"/>
  <c r="AE151" i="16" s="1"/>
  <c r="H151" i="16"/>
  <c r="J151" i="16" s="1"/>
  <c r="K151" i="16" s="1"/>
  <c r="L151" i="16" s="1"/>
  <c r="M151" i="16" s="1"/>
  <c r="N151" i="16" s="1"/>
  <c r="O151" i="16" s="1"/>
  <c r="H15" i="16"/>
  <c r="E13" i="17"/>
  <c r="F13" i="17" s="1"/>
  <c r="I8" i="17"/>
  <c r="E1" i="17"/>
  <c r="F1" i="17" s="1"/>
  <c r="G1" i="17" s="1"/>
  <c r="H1" i="17" s="1"/>
  <c r="I1" i="17" s="1"/>
  <c r="J1" i="17" s="1"/>
  <c r="K1" i="17" s="1"/>
  <c r="L1" i="17" s="1"/>
  <c r="M1" i="17" s="1"/>
  <c r="N1" i="17" s="1"/>
  <c r="O1" i="17" s="1"/>
  <c r="P1" i="17" s="1"/>
  <c r="Q1" i="17" s="1"/>
  <c r="R1" i="17" s="1"/>
  <c r="N14" i="17"/>
  <c r="M14" i="17"/>
  <c r="L14" i="17"/>
  <c r="K14" i="17"/>
  <c r="J14" i="17"/>
  <c r="I14" i="17"/>
  <c r="H14" i="17"/>
  <c r="G14" i="17"/>
  <c r="F14" i="17"/>
  <c r="E14" i="17"/>
  <c r="D14" i="17"/>
  <c r="E8" i="17"/>
  <c r="D8" i="17"/>
  <c r="D22" i="17" s="1"/>
  <c r="C7" i="17"/>
  <c r="C6" i="17"/>
  <c r="C5" i="17"/>
  <c r="J8" i="17"/>
  <c r="H8" i="17"/>
  <c r="G8" i="17"/>
  <c r="F8" i="17"/>
  <c r="Q129" i="25" l="1"/>
  <c r="R128" i="25"/>
  <c r="T128" i="25" s="1"/>
  <c r="D105" i="26"/>
  <c r="C106" i="26"/>
  <c r="X215" i="26"/>
  <c r="Y214" i="26"/>
  <c r="M105" i="26"/>
  <c r="N105" i="26"/>
  <c r="K347" i="26" s="1"/>
  <c r="AA213" i="26"/>
  <c r="AB213" i="26"/>
  <c r="AK213" i="26" s="1"/>
  <c r="S346" i="26" s="1"/>
  <c r="J107" i="26"/>
  <c r="K106" i="26"/>
  <c r="AH249" i="26"/>
  <c r="AI249" i="26"/>
  <c r="T129" i="26"/>
  <c r="U129" i="26"/>
  <c r="AE251" i="26"/>
  <c r="AF250" i="26"/>
  <c r="Q131" i="26"/>
  <c r="R130" i="26"/>
  <c r="F105" i="25"/>
  <c r="G105" i="25"/>
  <c r="J108" i="25"/>
  <c r="K107" i="25"/>
  <c r="M107" i="25" s="1"/>
  <c r="M106" i="25"/>
  <c r="D106" i="25"/>
  <c r="C107" i="25"/>
  <c r="X215" i="25"/>
  <c r="Y214" i="25"/>
  <c r="AH249" i="25"/>
  <c r="AI249" i="25"/>
  <c r="AA213" i="25"/>
  <c r="AB213" i="25"/>
  <c r="AK213" i="25" s="1"/>
  <c r="S346" i="25" s="1"/>
  <c r="AE251" i="25"/>
  <c r="AF250" i="25"/>
  <c r="J107" i="24"/>
  <c r="K106" i="24"/>
  <c r="T117" i="24"/>
  <c r="U117" i="24"/>
  <c r="AE251" i="24"/>
  <c r="AF250" i="24"/>
  <c r="R118" i="24"/>
  <c r="Q119" i="24"/>
  <c r="AH249" i="24"/>
  <c r="AI249" i="24"/>
  <c r="X215" i="24"/>
  <c r="Y214" i="24"/>
  <c r="D106" i="24"/>
  <c r="C107" i="24"/>
  <c r="M105" i="24"/>
  <c r="N105" i="24"/>
  <c r="K347" i="24" s="1"/>
  <c r="AA213" i="24"/>
  <c r="AB213" i="24"/>
  <c r="AK213" i="24" s="1"/>
  <c r="S346" i="24" s="1"/>
  <c r="F105" i="24"/>
  <c r="G105" i="24"/>
  <c r="M105" i="23"/>
  <c r="N105" i="23"/>
  <c r="K347" i="23" s="1"/>
  <c r="AA213" i="23"/>
  <c r="AB213" i="23"/>
  <c r="AK213" i="23" s="1"/>
  <c r="S346" i="23" s="1"/>
  <c r="J107" i="23"/>
  <c r="K106" i="23"/>
  <c r="C106" i="23"/>
  <c r="D105" i="23"/>
  <c r="Y214" i="23"/>
  <c r="X215" i="23"/>
  <c r="T117" i="23"/>
  <c r="U117" i="23"/>
  <c r="AH249" i="23"/>
  <c r="AI249" i="23"/>
  <c r="Q119" i="23"/>
  <c r="R118" i="23"/>
  <c r="AF250" i="23"/>
  <c r="AE251" i="23"/>
  <c r="T61" i="16"/>
  <c r="V60" i="16"/>
  <c r="U62" i="16"/>
  <c r="L4" i="16"/>
  <c r="AB4" i="16" s="1"/>
  <c r="B152" i="16"/>
  <c r="G13" i="17"/>
  <c r="G18" i="17"/>
  <c r="C8" i="17"/>
  <c r="E22" i="17"/>
  <c r="D23" i="17"/>
  <c r="D17" i="17"/>
  <c r="D28" i="17" s="1"/>
  <c r="F23" i="17"/>
  <c r="F21" i="17" s="1"/>
  <c r="G22" i="17"/>
  <c r="E23" i="17"/>
  <c r="D25" i="17"/>
  <c r="E18" i="17"/>
  <c r="N4" i="16" l="1"/>
  <c r="AD4" i="16" s="1"/>
  <c r="L5" i="16"/>
  <c r="AB5" i="16" s="1"/>
  <c r="Q130" i="25"/>
  <c r="R129" i="25"/>
  <c r="R131" i="26"/>
  <c r="T131" i="26" s="1"/>
  <c r="Q132" i="26"/>
  <c r="K107" i="26"/>
  <c r="M107" i="26" s="1"/>
  <c r="J108" i="26"/>
  <c r="F105" i="26"/>
  <c r="G105" i="26"/>
  <c r="T130" i="26"/>
  <c r="M106" i="26"/>
  <c r="C107" i="26"/>
  <c r="D106" i="26"/>
  <c r="AE252" i="26"/>
  <c r="AF251" i="26"/>
  <c r="AH251" i="26" s="1"/>
  <c r="X216" i="26"/>
  <c r="Y215" i="26"/>
  <c r="AA215" i="26" s="1"/>
  <c r="AH250" i="26"/>
  <c r="AA214" i="26"/>
  <c r="X216" i="25"/>
  <c r="Y215" i="25"/>
  <c r="AA215" i="25" s="1"/>
  <c r="AA214" i="25"/>
  <c r="K346" i="25"/>
  <c r="AK105" i="25"/>
  <c r="AE252" i="25"/>
  <c r="AF251" i="25"/>
  <c r="AH251" i="25" s="1"/>
  <c r="F106" i="25"/>
  <c r="J109" i="25"/>
  <c r="K108" i="25"/>
  <c r="AH250" i="25"/>
  <c r="D107" i="25"/>
  <c r="F107" i="25" s="1"/>
  <c r="C108" i="25"/>
  <c r="F106" i="24"/>
  <c r="AE252" i="24"/>
  <c r="AF251" i="24"/>
  <c r="AH251" i="24" s="1"/>
  <c r="J108" i="24"/>
  <c r="K107" i="24"/>
  <c r="M107" i="24" s="1"/>
  <c r="C108" i="24"/>
  <c r="D107" i="24"/>
  <c r="F107" i="24" s="1"/>
  <c r="AH250" i="24"/>
  <c r="M106" i="24"/>
  <c r="X216" i="24"/>
  <c r="Y215" i="24"/>
  <c r="AA215" i="24" s="1"/>
  <c r="T118" i="24"/>
  <c r="K346" i="24"/>
  <c r="AK105" i="24"/>
  <c r="AA214" i="24"/>
  <c r="R119" i="24"/>
  <c r="T119" i="24" s="1"/>
  <c r="Q120" i="24"/>
  <c r="AH250" i="23"/>
  <c r="AA214" i="23"/>
  <c r="J108" i="23"/>
  <c r="K107" i="23"/>
  <c r="M107" i="23" s="1"/>
  <c r="AF251" i="23"/>
  <c r="AH251" i="23" s="1"/>
  <c r="AE252" i="23"/>
  <c r="Y215" i="23"/>
  <c r="AA215" i="23" s="1"/>
  <c r="X216" i="23"/>
  <c r="M106" i="23"/>
  <c r="Q120" i="23"/>
  <c r="R119" i="23"/>
  <c r="T119" i="23" s="1"/>
  <c r="C107" i="23"/>
  <c r="D106" i="23"/>
  <c r="T118" i="23"/>
  <c r="F105" i="23"/>
  <c r="G105" i="23"/>
  <c r="W60" i="16"/>
  <c r="T62" i="16"/>
  <c r="V61" i="16"/>
  <c r="W61" i="16" s="1"/>
  <c r="U63" i="16"/>
  <c r="G23" i="17"/>
  <c r="H23" i="17" s="1"/>
  <c r="I23" i="17" s="1"/>
  <c r="J23" i="17" s="1"/>
  <c r="K23" i="17" s="1"/>
  <c r="L23" i="17" s="1"/>
  <c r="M23" i="17" s="1"/>
  <c r="N23" i="17" s="1"/>
  <c r="O23" i="17" s="1"/>
  <c r="P23" i="17" s="1"/>
  <c r="P21" i="17" s="1"/>
  <c r="D29" i="17"/>
  <c r="L6" i="16"/>
  <c r="AB6" i="16" s="1"/>
  <c r="D21" i="17"/>
  <c r="D37" i="17" s="1"/>
  <c r="H13" i="17"/>
  <c r="E21" i="17"/>
  <c r="E37" i="17" s="1"/>
  <c r="E29" i="17"/>
  <c r="F18" i="17" s="1"/>
  <c r="F16" i="17" s="1"/>
  <c r="D16" i="17"/>
  <c r="D27" i="17"/>
  <c r="E17" i="17" s="1"/>
  <c r="E28" i="17" s="1"/>
  <c r="E15" i="17"/>
  <c r="F37" i="17"/>
  <c r="U129" i="25" l="1"/>
  <c r="T129" i="25"/>
  <c r="Q131" i="25"/>
  <c r="R130" i="25"/>
  <c r="T130" i="25" s="1"/>
  <c r="AE253" i="26"/>
  <c r="AF252" i="26"/>
  <c r="K346" i="26"/>
  <c r="AK105" i="26"/>
  <c r="R132" i="26"/>
  <c r="T132" i="26" s="1"/>
  <c r="Q133" i="26"/>
  <c r="X217" i="26"/>
  <c r="Y216" i="26"/>
  <c r="D107" i="26"/>
  <c r="F107" i="26" s="1"/>
  <c r="C108" i="26"/>
  <c r="F106" i="26"/>
  <c r="J109" i="26"/>
  <c r="K108" i="26"/>
  <c r="C109" i="25"/>
  <c r="D108" i="25"/>
  <c r="F108" i="25" s="1"/>
  <c r="X217" i="25"/>
  <c r="Y216" i="25"/>
  <c r="AA216" i="25" s="1"/>
  <c r="K109" i="25"/>
  <c r="M109" i="25" s="1"/>
  <c r="J110" i="25"/>
  <c r="M108" i="25"/>
  <c r="AE253" i="25"/>
  <c r="AF252" i="25"/>
  <c r="K108" i="24"/>
  <c r="M108" i="24" s="1"/>
  <c r="J109" i="24"/>
  <c r="X217" i="24"/>
  <c r="Y216" i="24"/>
  <c r="R120" i="24"/>
  <c r="T120" i="24" s="1"/>
  <c r="Q121" i="24"/>
  <c r="D108" i="24"/>
  <c r="C109" i="24"/>
  <c r="AE253" i="24"/>
  <c r="AF252" i="24"/>
  <c r="R120" i="23"/>
  <c r="Q121" i="23"/>
  <c r="K108" i="23"/>
  <c r="M108" i="23" s="1"/>
  <c r="J109" i="23"/>
  <c r="Y216" i="23"/>
  <c r="AA216" i="23" s="1"/>
  <c r="X217" i="23"/>
  <c r="C108" i="23"/>
  <c r="D107" i="23"/>
  <c r="F107" i="23" s="1"/>
  <c r="K346" i="23"/>
  <c r="AK105" i="23"/>
  <c r="F106" i="23"/>
  <c r="AF252" i="23"/>
  <c r="AE253" i="23"/>
  <c r="T63" i="16"/>
  <c r="V62" i="16"/>
  <c r="W62" i="16" s="1"/>
  <c r="U64" i="16"/>
  <c r="G28" i="17"/>
  <c r="H18" i="17" s="1"/>
  <c r="H28" i="17" s="1"/>
  <c r="I18" i="17" s="1"/>
  <c r="G21" i="17"/>
  <c r="G37" i="17" s="1"/>
  <c r="M5" i="16"/>
  <c r="AC5" i="16" s="1"/>
  <c r="L7" i="16"/>
  <c r="AB7" i="16" s="1"/>
  <c r="I13" i="17"/>
  <c r="E25" i="17"/>
  <c r="D26" i="17"/>
  <c r="D38" i="17" s="1"/>
  <c r="D36" i="17"/>
  <c r="D39" i="17" s="1"/>
  <c r="E27" i="17"/>
  <c r="E16" i="17"/>
  <c r="H22" i="17"/>
  <c r="F29" i="17"/>
  <c r="R131" i="25" l="1"/>
  <c r="T131" i="25" s="1"/>
  <c r="Q132" i="25"/>
  <c r="J110" i="26"/>
  <c r="K109" i="26"/>
  <c r="M109" i="26" s="1"/>
  <c r="AE254" i="26"/>
  <c r="AF253" i="26"/>
  <c r="AH253" i="26" s="1"/>
  <c r="M108" i="26"/>
  <c r="C109" i="26"/>
  <c r="D108" i="26"/>
  <c r="F108" i="26" s="1"/>
  <c r="R133" i="26"/>
  <c r="Q134" i="26"/>
  <c r="AH252" i="26"/>
  <c r="X218" i="26"/>
  <c r="Y217" i="26"/>
  <c r="AA217" i="26" s="1"/>
  <c r="AA216" i="26"/>
  <c r="AH252" i="25"/>
  <c r="D109" i="25"/>
  <c r="C110" i="25"/>
  <c r="J111" i="25"/>
  <c r="K110" i="25"/>
  <c r="M110" i="25" s="1"/>
  <c r="X218" i="25"/>
  <c r="Y217" i="25"/>
  <c r="AE254" i="25"/>
  <c r="AF253" i="25"/>
  <c r="AH253" i="25" s="1"/>
  <c r="C110" i="24"/>
  <c r="D109" i="24"/>
  <c r="F109" i="24" s="1"/>
  <c r="AA216" i="24"/>
  <c r="AH252" i="24"/>
  <c r="R121" i="24"/>
  <c r="Q122" i="24"/>
  <c r="J110" i="24"/>
  <c r="K109" i="24"/>
  <c r="M109" i="24" s="1"/>
  <c r="AE254" i="24"/>
  <c r="AF253" i="24"/>
  <c r="AH253" i="24" s="1"/>
  <c r="F108" i="24"/>
  <c r="X218" i="24"/>
  <c r="Y217" i="24"/>
  <c r="AA217" i="24" s="1"/>
  <c r="T120" i="23"/>
  <c r="AF253" i="23"/>
  <c r="AH253" i="23" s="1"/>
  <c r="AE254" i="23"/>
  <c r="Q122" i="23"/>
  <c r="R121" i="23"/>
  <c r="T121" i="23" s="1"/>
  <c r="AH252" i="23"/>
  <c r="D108" i="23"/>
  <c r="C109" i="23"/>
  <c r="Y217" i="23"/>
  <c r="AA217" i="23" s="1"/>
  <c r="X218" i="23"/>
  <c r="J110" i="23"/>
  <c r="K109" i="23"/>
  <c r="T64" i="16"/>
  <c r="V63" i="16"/>
  <c r="U65" i="16"/>
  <c r="I22" i="17"/>
  <c r="H21" i="17"/>
  <c r="L8" i="16"/>
  <c r="AB8" i="16" s="1"/>
  <c r="N5" i="16"/>
  <c r="AD5" i="16" s="1"/>
  <c r="M6" i="16"/>
  <c r="J13" i="17"/>
  <c r="E36" i="17"/>
  <c r="E26" i="17"/>
  <c r="F15" i="17"/>
  <c r="F27" i="17"/>
  <c r="G17" i="17" s="1"/>
  <c r="G16" i="17" s="1"/>
  <c r="N6" i="16" l="1"/>
  <c r="AD6" i="16" s="1"/>
  <c r="AC6" i="16"/>
  <c r="R132" i="25"/>
  <c r="T132" i="25" s="1"/>
  <c r="Q133" i="25"/>
  <c r="X219" i="26"/>
  <c r="Y218" i="26"/>
  <c r="T133" i="26"/>
  <c r="J111" i="26"/>
  <c r="K110" i="26"/>
  <c r="R134" i="26"/>
  <c r="T134" i="26" s="1"/>
  <c r="Q135" i="26"/>
  <c r="C110" i="26"/>
  <c r="D109" i="26"/>
  <c r="AE255" i="26"/>
  <c r="AF254" i="26"/>
  <c r="K111" i="25"/>
  <c r="M111" i="25" s="1"/>
  <c r="J112" i="25"/>
  <c r="AE255" i="25"/>
  <c r="AF254" i="25"/>
  <c r="X219" i="25"/>
  <c r="Y218" i="25"/>
  <c r="AA218" i="25" s="1"/>
  <c r="F109" i="25"/>
  <c r="AA217" i="25"/>
  <c r="C111" i="25"/>
  <c r="D110" i="25"/>
  <c r="F110" i="25" s="1"/>
  <c r="K110" i="24"/>
  <c r="J111" i="24"/>
  <c r="D110" i="24"/>
  <c r="C111" i="24"/>
  <c r="X219" i="24"/>
  <c r="Y218" i="24"/>
  <c r="AA218" i="24" s="1"/>
  <c r="AE255" i="24"/>
  <c r="AF254" i="24"/>
  <c r="T121" i="24"/>
  <c r="R122" i="24"/>
  <c r="T122" i="24" s="1"/>
  <c r="Q123" i="24"/>
  <c r="Y218" i="23"/>
  <c r="X219" i="23"/>
  <c r="AF254" i="23"/>
  <c r="AE255" i="23"/>
  <c r="R122" i="23"/>
  <c r="Q123" i="23"/>
  <c r="K110" i="23"/>
  <c r="M110" i="23" s="1"/>
  <c r="J111" i="23"/>
  <c r="C110" i="23"/>
  <c r="D109" i="23"/>
  <c r="F109" i="23" s="1"/>
  <c r="F108" i="23"/>
  <c r="M109" i="23"/>
  <c r="W63" i="16"/>
  <c r="X63" i="16"/>
  <c r="T65" i="16"/>
  <c r="V64" i="16"/>
  <c r="U66" i="16"/>
  <c r="J22" i="17"/>
  <c r="I21" i="17"/>
  <c r="I37" i="17" s="1"/>
  <c r="M7" i="16"/>
  <c r="AC7" i="16" s="1"/>
  <c r="L9" i="16"/>
  <c r="AB9" i="16" s="1"/>
  <c r="K13" i="17"/>
  <c r="I28" i="17"/>
  <c r="J18" i="17" s="1"/>
  <c r="E39" i="17"/>
  <c r="E38" i="17"/>
  <c r="G27" i="17"/>
  <c r="H17" i="17" s="1"/>
  <c r="H16" i="17" s="1"/>
  <c r="H37" i="17"/>
  <c r="F25" i="17"/>
  <c r="Q134" i="25" l="1"/>
  <c r="R133" i="25"/>
  <c r="T133" i="25" s="1"/>
  <c r="C111" i="26"/>
  <c r="D110" i="26"/>
  <c r="F110" i="26" s="1"/>
  <c r="J112" i="26"/>
  <c r="K111" i="26"/>
  <c r="M111" i="26" s="1"/>
  <c r="X220" i="26"/>
  <c r="Y219" i="26"/>
  <c r="AA219" i="26" s="1"/>
  <c r="F109" i="26"/>
  <c r="M110" i="26"/>
  <c r="AA218" i="26"/>
  <c r="AE256" i="26"/>
  <c r="AF255" i="26"/>
  <c r="AH255" i="26" s="1"/>
  <c r="AH254" i="26"/>
  <c r="R135" i="26"/>
  <c r="T135" i="26" s="1"/>
  <c r="Q136" i="26"/>
  <c r="AE256" i="25"/>
  <c r="AF255" i="25"/>
  <c r="AH255" i="25" s="1"/>
  <c r="AH254" i="25"/>
  <c r="D111" i="25"/>
  <c r="F111" i="25" s="1"/>
  <c r="C112" i="25"/>
  <c r="X220" i="25"/>
  <c r="Y219" i="25"/>
  <c r="AA219" i="25" s="1"/>
  <c r="J113" i="25"/>
  <c r="K112" i="25"/>
  <c r="X220" i="24"/>
  <c r="Y219" i="24"/>
  <c r="M110" i="24"/>
  <c r="J112" i="24"/>
  <c r="K111" i="24"/>
  <c r="M111" i="24" s="1"/>
  <c r="AE256" i="24"/>
  <c r="AF255" i="24"/>
  <c r="AH255" i="24" s="1"/>
  <c r="F110" i="24"/>
  <c r="R123" i="24"/>
  <c r="Q124" i="24"/>
  <c r="AH254" i="24"/>
  <c r="C112" i="24"/>
  <c r="D111" i="24"/>
  <c r="F111" i="24" s="1"/>
  <c r="D110" i="23"/>
  <c r="F110" i="23" s="1"/>
  <c r="C111" i="23"/>
  <c r="T122" i="23"/>
  <c r="AA218" i="23"/>
  <c r="Y219" i="23"/>
  <c r="AA219" i="23" s="1"/>
  <c r="X220" i="23"/>
  <c r="AH254" i="23"/>
  <c r="Q124" i="23"/>
  <c r="R123" i="23"/>
  <c r="T123" i="23" s="1"/>
  <c r="J112" i="23"/>
  <c r="K111" i="23"/>
  <c r="AF255" i="23"/>
  <c r="AH255" i="23" s="1"/>
  <c r="AE256" i="23"/>
  <c r="W64" i="16"/>
  <c r="T66" i="16"/>
  <c r="V65" i="16"/>
  <c r="W65" i="16" s="1"/>
  <c r="U67" i="16"/>
  <c r="K22" i="17"/>
  <c r="J21" i="17"/>
  <c r="H27" i="17"/>
  <c r="I17" i="17" s="1"/>
  <c r="I16" i="17" s="1"/>
  <c r="L10" i="16"/>
  <c r="AB10" i="16" s="1"/>
  <c r="M8" i="16"/>
  <c r="N7" i="16"/>
  <c r="AD7" i="16" s="1"/>
  <c r="L13" i="17"/>
  <c r="G15" i="17"/>
  <c r="J28" i="17"/>
  <c r="K18" i="17" s="1"/>
  <c r="F26" i="17"/>
  <c r="F36" i="17"/>
  <c r="F39" i="17" s="1"/>
  <c r="G26" i="17"/>
  <c r="G36" i="17"/>
  <c r="G39" i="17" s="1"/>
  <c r="N8" i="16" l="1"/>
  <c r="AD8" i="16" s="1"/>
  <c r="AC8" i="16"/>
  <c r="Q135" i="25"/>
  <c r="R134" i="25"/>
  <c r="T134" i="25" s="1"/>
  <c r="AE257" i="26"/>
  <c r="AF256" i="26"/>
  <c r="AH256" i="26" s="1"/>
  <c r="X221" i="26"/>
  <c r="Y220" i="26"/>
  <c r="AA220" i="26" s="1"/>
  <c r="C112" i="26"/>
  <c r="D111" i="26"/>
  <c r="F111" i="26" s="1"/>
  <c r="R136" i="26"/>
  <c r="T136" i="26" s="1"/>
  <c r="Q137" i="26"/>
  <c r="J113" i="26"/>
  <c r="K112" i="26"/>
  <c r="K113" i="25"/>
  <c r="M113" i="25" s="1"/>
  <c r="J114" i="25"/>
  <c r="M112" i="25"/>
  <c r="X221" i="25"/>
  <c r="Y220" i="25"/>
  <c r="AE257" i="25"/>
  <c r="AF256" i="25"/>
  <c r="C113" i="25"/>
  <c r="D112" i="25"/>
  <c r="F112" i="25" s="1"/>
  <c r="K112" i="24"/>
  <c r="M112" i="24" s="1"/>
  <c r="J113" i="24"/>
  <c r="X221" i="24"/>
  <c r="Y220" i="24"/>
  <c r="AA220" i="24" s="1"/>
  <c r="AA219" i="24"/>
  <c r="D112" i="24"/>
  <c r="C113" i="24"/>
  <c r="T123" i="24"/>
  <c r="AE257" i="24"/>
  <c r="AF256" i="24"/>
  <c r="R124" i="24"/>
  <c r="T124" i="24" s="1"/>
  <c r="Q125" i="24"/>
  <c r="K112" i="23"/>
  <c r="M112" i="23" s="1"/>
  <c r="J113" i="23"/>
  <c r="M111" i="23"/>
  <c r="R124" i="23"/>
  <c r="T124" i="23" s="1"/>
  <c r="Q125" i="23"/>
  <c r="C112" i="23"/>
  <c r="D111" i="23"/>
  <c r="AF256" i="23"/>
  <c r="AE257" i="23"/>
  <c r="Y220" i="23"/>
  <c r="X221" i="23"/>
  <c r="T67" i="16"/>
  <c r="V66" i="16"/>
  <c r="U68" i="16"/>
  <c r="L22" i="17"/>
  <c r="K21" i="17"/>
  <c r="K37" i="17" s="1"/>
  <c r="I27" i="17"/>
  <c r="J17" i="17" s="1"/>
  <c r="J16" i="17" s="1"/>
  <c r="M9" i="16"/>
  <c r="AC9" i="16" s="1"/>
  <c r="L11" i="16"/>
  <c r="AB11" i="16" s="1"/>
  <c r="M13" i="17"/>
  <c r="F38" i="17"/>
  <c r="K28" i="17"/>
  <c r="L18" i="17" s="1"/>
  <c r="G38" i="17"/>
  <c r="J37" i="17"/>
  <c r="H26" i="17"/>
  <c r="H36" i="17"/>
  <c r="H39" i="17" s="1"/>
  <c r="G25" i="17"/>
  <c r="Q136" i="25" l="1"/>
  <c r="R135" i="25"/>
  <c r="T135" i="25" s="1"/>
  <c r="J114" i="26"/>
  <c r="K113" i="26"/>
  <c r="M113" i="26" s="1"/>
  <c r="C113" i="26"/>
  <c r="D112" i="26"/>
  <c r="AE258" i="26"/>
  <c r="AF257" i="26"/>
  <c r="AH257" i="26" s="1"/>
  <c r="M112" i="26"/>
  <c r="X222" i="26"/>
  <c r="Y221" i="26"/>
  <c r="R137" i="26"/>
  <c r="T137" i="26" s="1"/>
  <c r="Q138" i="26"/>
  <c r="D113" i="25"/>
  <c r="F113" i="25" s="1"/>
  <c r="C114" i="25"/>
  <c r="X222" i="25"/>
  <c r="Y221" i="25"/>
  <c r="AA221" i="25" s="1"/>
  <c r="AA220" i="25"/>
  <c r="J115" i="25"/>
  <c r="K114" i="25"/>
  <c r="M114" i="25" s="1"/>
  <c r="AE258" i="25"/>
  <c r="AF257" i="25"/>
  <c r="AH257" i="25" s="1"/>
  <c r="AH256" i="25"/>
  <c r="R125" i="24"/>
  <c r="Q126" i="24"/>
  <c r="J114" i="24"/>
  <c r="K113" i="24"/>
  <c r="M113" i="24" s="1"/>
  <c r="AE258" i="24"/>
  <c r="AF257" i="24"/>
  <c r="AH257" i="24" s="1"/>
  <c r="F112" i="24"/>
  <c r="X222" i="24"/>
  <c r="Y221" i="24"/>
  <c r="AH256" i="24"/>
  <c r="C114" i="24"/>
  <c r="D113" i="24"/>
  <c r="F113" i="24" s="1"/>
  <c r="AF257" i="23"/>
  <c r="AH257" i="23" s="1"/>
  <c r="AE258" i="23"/>
  <c r="AH256" i="23"/>
  <c r="Q126" i="23"/>
  <c r="R125" i="23"/>
  <c r="AA220" i="23"/>
  <c r="D112" i="23"/>
  <c r="F112" i="23" s="1"/>
  <c r="C113" i="23"/>
  <c r="J114" i="23"/>
  <c r="K113" i="23"/>
  <c r="M113" i="23" s="1"/>
  <c r="Y221" i="23"/>
  <c r="AA221" i="23" s="1"/>
  <c r="X222" i="23"/>
  <c r="F111" i="23"/>
  <c r="W66" i="16"/>
  <c r="T68" i="16"/>
  <c r="V67" i="16"/>
  <c r="W67" i="16" s="1"/>
  <c r="U69" i="16"/>
  <c r="M22" i="17"/>
  <c r="L21" i="17"/>
  <c r="J27" i="17"/>
  <c r="K17" i="17" s="1"/>
  <c r="K16" i="17" s="1"/>
  <c r="L12" i="16"/>
  <c r="AB12" i="16" s="1"/>
  <c r="M10" i="16"/>
  <c r="N9" i="16"/>
  <c r="AD9" i="16" s="1"/>
  <c r="N13" i="17"/>
  <c r="H38" i="17"/>
  <c r="L28" i="17"/>
  <c r="M18" i="17" s="1"/>
  <c r="H15" i="17"/>
  <c r="I36" i="17"/>
  <c r="I39" i="17" s="1"/>
  <c r="I26" i="17"/>
  <c r="N10" i="16" l="1"/>
  <c r="AD10" i="16" s="1"/>
  <c r="AC10" i="16"/>
  <c r="R136" i="25"/>
  <c r="T136" i="25" s="1"/>
  <c r="Q137" i="25"/>
  <c r="X223" i="26"/>
  <c r="Y222" i="26"/>
  <c r="AA222" i="26" s="1"/>
  <c r="AE259" i="26"/>
  <c r="AF258" i="26"/>
  <c r="AH258" i="26" s="1"/>
  <c r="J115" i="26"/>
  <c r="K114" i="26"/>
  <c r="M114" i="26" s="1"/>
  <c r="AA221" i="26"/>
  <c r="C114" i="26"/>
  <c r="D113" i="26"/>
  <c r="F113" i="26" s="1"/>
  <c r="R138" i="26"/>
  <c r="T138" i="26" s="1"/>
  <c r="Q139" i="26"/>
  <c r="F112" i="26"/>
  <c r="AE259" i="25"/>
  <c r="AF258" i="25"/>
  <c r="AH258" i="25" s="1"/>
  <c r="C115" i="25"/>
  <c r="D114" i="25"/>
  <c r="F114" i="25" s="1"/>
  <c r="K115" i="25"/>
  <c r="M115" i="25" s="1"/>
  <c r="J116" i="25"/>
  <c r="X223" i="25"/>
  <c r="Y222" i="25"/>
  <c r="AA222" i="25" s="1"/>
  <c r="D114" i="24"/>
  <c r="F114" i="24" s="1"/>
  <c r="C115" i="24"/>
  <c r="X223" i="24"/>
  <c r="Y222" i="24"/>
  <c r="AA222" i="24" s="1"/>
  <c r="AE259" i="24"/>
  <c r="AF258" i="24"/>
  <c r="AH258" i="24" s="1"/>
  <c r="T125" i="24"/>
  <c r="K114" i="24"/>
  <c r="M114" i="24" s="1"/>
  <c r="J115" i="24"/>
  <c r="AA221" i="24"/>
  <c r="R126" i="24"/>
  <c r="T126" i="24" s="1"/>
  <c r="Q127" i="24"/>
  <c r="R126" i="23"/>
  <c r="T126" i="23" s="1"/>
  <c r="Q127" i="23"/>
  <c r="C114" i="23"/>
  <c r="D113" i="23"/>
  <c r="F113" i="23" s="1"/>
  <c r="AF258" i="23"/>
  <c r="AH258" i="23" s="1"/>
  <c r="AE259" i="23"/>
  <c r="T125" i="23"/>
  <c r="K114" i="23"/>
  <c r="M114" i="23" s="1"/>
  <c r="J115" i="23"/>
  <c r="Y222" i="23"/>
  <c r="AA222" i="23" s="1"/>
  <c r="X223" i="23"/>
  <c r="T69" i="16"/>
  <c r="V68" i="16"/>
  <c r="U70" i="16"/>
  <c r="N22" i="17"/>
  <c r="M21" i="17"/>
  <c r="M37" i="17" s="1"/>
  <c r="K27" i="17"/>
  <c r="L17" i="17" s="1"/>
  <c r="L16" i="17" s="1"/>
  <c r="M11" i="16"/>
  <c r="AC11" i="16" s="1"/>
  <c r="L13" i="16"/>
  <c r="AB13" i="16" s="1"/>
  <c r="O13" i="17"/>
  <c r="H25" i="17"/>
  <c r="L37" i="17"/>
  <c r="M28" i="17"/>
  <c r="N18" i="17" s="1"/>
  <c r="J26" i="17"/>
  <c r="J36" i="17"/>
  <c r="J39" i="17" s="1"/>
  <c r="I38" i="17"/>
  <c r="R137" i="25" l="1"/>
  <c r="T137" i="25" s="1"/>
  <c r="Q138" i="25"/>
  <c r="C115" i="26"/>
  <c r="D114" i="26"/>
  <c r="F114" i="26" s="1"/>
  <c r="J116" i="26"/>
  <c r="K115" i="26"/>
  <c r="M115" i="26" s="1"/>
  <c r="X224" i="26"/>
  <c r="Y223" i="26"/>
  <c r="AA223" i="26" s="1"/>
  <c r="AE260" i="26"/>
  <c r="AF259" i="26"/>
  <c r="AH259" i="26" s="1"/>
  <c r="R139" i="26"/>
  <c r="T139" i="26" s="1"/>
  <c r="Q140" i="26"/>
  <c r="D115" i="25"/>
  <c r="F115" i="25" s="1"/>
  <c r="C116" i="25"/>
  <c r="J117" i="25"/>
  <c r="K116" i="25"/>
  <c r="M116" i="25" s="1"/>
  <c r="X224" i="25"/>
  <c r="Y223" i="25"/>
  <c r="AA223" i="25" s="1"/>
  <c r="AE260" i="25"/>
  <c r="AF259" i="25"/>
  <c r="AH259" i="25" s="1"/>
  <c r="AE260" i="24"/>
  <c r="AF259" i="24"/>
  <c r="AH259" i="24" s="1"/>
  <c r="R127" i="24"/>
  <c r="T127" i="24" s="1"/>
  <c r="Q128" i="24"/>
  <c r="J116" i="24"/>
  <c r="K115" i="24"/>
  <c r="M115" i="24" s="1"/>
  <c r="C116" i="24"/>
  <c r="D115" i="24"/>
  <c r="F115" i="24" s="1"/>
  <c r="X224" i="24"/>
  <c r="Y223" i="24"/>
  <c r="AA223" i="24" s="1"/>
  <c r="AF259" i="23"/>
  <c r="AH259" i="23" s="1"/>
  <c r="AE260" i="23"/>
  <c r="J116" i="23"/>
  <c r="K115" i="23"/>
  <c r="M115" i="23" s="1"/>
  <c r="D114" i="23"/>
  <c r="F114" i="23" s="1"/>
  <c r="C115" i="23"/>
  <c r="R127" i="23"/>
  <c r="T127" i="23" s="1"/>
  <c r="Q128" i="23"/>
  <c r="Y223" i="23"/>
  <c r="AA223" i="23" s="1"/>
  <c r="X224" i="23"/>
  <c r="W68" i="16"/>
  <c r="T70" i="16"/>
  <c r="V69" i="16"/>
  <c r="W69" i="16" s="1"/>
  <c r="U71" i="16"/>
  <c r="O22" i="17"/>
  <c r="N21" i="17"/>
  <c r="N37" i="17" s="1"/>
  <c r="L27" i="17"/>
  <c r="M17" i="17" s="1"/>
  <c r="M16" i="17" s="1"/>
  <c r="Q22" i="17"/>
  <c r="Q21" i="17" s="1"/>
  <c r="L14" i="16"/>
  <c r="AB14" i="16" s="1"/>
  <c r="N11" i="16"/>
  <c r="AD11" i="16" s="1"/>
  <c r="M12" i="16"/>
  <c r="P13" i="17"/>
  <c r="J38" i="17"/>
  <c r="I15" i="17"/>
  <c r="K26" i="17"/>
  <c r="K36" i="17"/>
  <c r="K39" i="17" s="1"/>
  <c r="N28" i="17"/>
  <c r="O18" i="17" s="1"/>
  <c r="F5" i="14"/>
  <c r="F7" i="14" s="1"/>
  <c r="E5" i="14"/>
  <c r="E7" i="14" s="1"/>
  <c r="R138" i="25" l="1"/>
  <c r="T138" i="25" s="1"/>
  <c r="Q139" i="25"/>
  <c r="N12" i="16"/>
  <c r="AD12" i="16" s="1"/>
  <c r="AC12" i="16"/>
  <c r="X225" i="26"/>
  <c r="Y224" i="26"/>
  <c r="AA224" i="26" s="1"/>
  <c r="C116" i="26"/>
  <c r="D115" i="26"/>
  <c r="F115" i="26" s="1"/>
  <c r="R140" i="26"/>
  <c r="T140" i="26" s="1"/>
  <c r="Q141" i="26"/>
  <c r="AE261" i="26"/>
  <c r="AF260" i="26"/>
  <c r="AH260" i="26" s="1"/>
  <c r="J117" i="26"/>
  <c r="K116" i="26"/>
  <c r="M116" i="26" s="1"/>
  <c r="AE261" i="25"/>
  <c r="AF260" i="25"/>
  <c r="AH260" i="25" s="1"/>
  <c r="J118" i="25"/>
  <c r="K117" i="25"/>
  <c r="X225" i="25"/>
  <c r="Y224" i="25"/>
  <c r="AA224" i="25" s="1"/>
  <c r="C117" i="25"/>
  <c r="D116" i="25"/>
  <c r="F116" i="25" s="1"/>
  <c r="X225" i="24"/>
  <c r="Y224" i="24"/>
  <c r="AA224" i="24" s="1"/>
  <c r="J117" i="24"/>
  <c r="K116" i="24"/>
  <c r="M116" i="24" s="1"/>
  <c r="AE261" i="24"/>
  <c r="AF260" i="24"/>
  <c r="AH260" i="24" s="1"/>
  <c r="D116" i="24"/>
  <c r="F116" i="24" s="1"/>
  <c r="C117" i="24"/>
  <c r="Q129" i="24"/>
  <c r="R128" i="24"/>
  <c r="T128" i="24" s="1"/>
  <c r="Y224" i="23"/>
  <c r="AA224" i="23" s="1"/>
  <c r="X225" i="23"/>
  <c r="K116" i="23"/>
  <c r="M116" i="23" s="1"/>
  <c r="J117" i="23"/>
  <c r="C116" i="23"/>
  <c r="D115" i="23"/>
  <c r="F115" i="23" s="1"/>
  <c r="AE261" i="23"/>
  <c r="AF260" i="23"/>
  <c r="AH260" i="23" s="1"/>
  <c r="Q129" i="23"/>
  <c r="R128" i="23"/>
  <c r="T128" i="23" s="1"/>
  <c r="T71" i="16"/>
  <c r="V70" i="16"/>
  <c r="U72" i="16"/>
  <c r="O21" i="17"/>
  <c r="O37" i="17" s="1"/>
  <c r="M27" i="17"/>
  <c r="N17" i="17" s="1"/>
  <c r="N16" i="17" s="1"/>
  <c r="Q37" i="17"/>
  <c r="R22" i="17"/>
  <c r="R21" i="17" s="1"/>
  <c r="R37" i="17" s="1"/>
  <c r="M13" i="16"/>
  <c r="L15" i="16"/>
  <c r="AB15" i="16" s="1"/>
  <c r="Q13" i="17"/>
  <c r="K38" i="17"/>
  <c r="L26" i="17"/>
  <c r="L36" i="17"/>
  <c r="L39" i="17" s="1"/>
  <c r="O28" i="17"/>
  <c r="P18" i="17" s="1"/>
  <c r="I25" i="17"/>
  <c r="P37" i="17"/>
  <c r="S37" i="17" l="1"/>
  <c r="N13" i="16"/>
  <c r="AD13" i="16" s="1"/>
  <c r="AC13" i="16"/>
  <c r="Q140" i="25"/>
  <c r="R139" i="25"/>
  <c r="T139" i="25" s="1"/>
  <c r="K117" i="26"/>
  <c r="J118" i="26"/>
  <c r="X226" i="26"/>
  <c r="Y225" i="26"/>
  <c r="AF261" i="26"/>
  <c r="AE262" i="26"/>
  <c r="C117" i="26"/>
  <c r="D116" i="26"/>
  <c r="F116" i="26" s="1"/>
  <c r="R141" i="26"/>
  <c r="Q142" i="26"/>
  <c r="D117" i="25"/>
  <c r="C118" i="25"/>
  <c r="X226" i="25"/>
  <c r="Y225" i="25"/>
  <c r="AF261" i="25"/>
  <c r="AE262" i="25"/>
  <c r="J119" i="25"/>
  <c r="K118" i="25"/>
  <c r="M117" i="25"/>
  <c r="N117" i="25"/>
  <c r="L347" i="25" s="1"/>
  <c r="R129" i="24"/>
  <c r="Q130" i="24"/>
  <c r="AE262" i="24"/>
  <c r="AF261" i="24"/>
  <c r="X226" i="24"/>
  <c r="Y225" i="24"/>
  <c r="K117" i="24"/>
  <c r="J118" i="24"/>
  <c r="D117" i="24"/>
  <c r="C118" i="24"/>
  <c r="D116" i="23"/>
  <c r="F116" i="23" s="1"/>
  <c r="C117" i="23"/>
  <c r="R129" i="23"/>
  <c r="Q130" i="23"/>
  <c r="AF261" i="23"/>
  <c r="AE262" i="23"/>
  <c r="Y225" i="23"/>
  <c r="X226" i="23"/>
  <c r="J118" i="23"/>
  <c r="K117" i="23"/>
  <c r="W70" i="16"/>
  <c r="T72" i="16"/>
  <c r="V71" i="16"/>
  <c r="W71" i="16" s="1"/>
  <c r="U73" i="16"/>
  <c r="N27" i="17"/>
  <c r="O17" i="17" s="1"/>
  <c r="O16" i="17" s="1"/>
  <c r="M14" i="16"/>
  <c r="R13" i="17"/>
  <c r="L38" i="17"/>
  <c r="P28" i="17"/>
  <c r="Q18" i="17" s="1"/>
  <c r="M36" i="17"/>
  <c r="M39" i="17" s="1"/>
  <c r="M26" i="17"/>
  <c r="J15" i="17"/>
  <c r="N14" i="16" l="1"/>
  <c r="AD14" i="16" s="1"/>
  <c r="AC14" i="16"/>
  <c r="Q141" i="25"/>
  <c r="R140" i="25"/>
  <c r="T140" i="25" s="1"/>
  <c r="T141" i="26"/>
  <c r="U141" i="26"/>
  <c r="AH261" i="26"/>
  <c r="AI261" i="26"/>
  <c r="M117" i="26"/>
  <c r="N117" i="26"/>
  <c r="L347" i="26" s="1"/>
  <c r="R142" i="26"/>
  <c r="Q143" i="26"/>
  <c r="J119" i="26"/>
  <c r="K118" i="26"/>
  <c r="C118" i="26"/>
  <c r="D117" i="26"/>
  <c r="X227" i="26"/>
  <c r="Y226" i="26"/>
  <c r="AE263" i="26"/>
  <c r="AF262" i="26"/>
  <c r="AA225" i="26"/>
  <c r="AB225" i="26"/>
  <c r="AK225" i="26" s="1"/>
  <c r="AH261" i="25"/>
  <c r="AI261" i="25"/>
  <c r="F117" i="25"/>
  <c r="G117" i="25"/>
  <c r="C119" i="25"/>
  <c r="D118" i="25"/>
  <c r="K119" i="25"/>
  <c r="M119" i="25" s="1"/>
  <c r="J120" i="25"/>
  <c r="X227" i="25"/>
  <c r="Y226" i="25"/>
  <c r="AE263" i="25"/>
  <c r="AF262" i="25"/>
  <c r="M118" i="25"/>
  <c r="AA225" i="25"/>
  <c r="AB225" i="25"/>
  <c r="AK225" i="25" s="1"/>
  <c r="T129" i="24"/>
  <c r="U129" i="24"/>
  <c r="X227" i="24"/>
  <c r="Y226" i="24"/>
  <c r="D118" i="24"/>
  <c r="C119" i="24"/>
  <c r="AE263" i="24"/>
  <c r="AF262" i="24"/>
  <c r="F117" i="24"/>
  <c r="G117" i="24"/>
  <c r="AA225" i="24"/>
  <c r="AB225" i="24"/>
  <c r="AK225" i="24" s="1"/>
  <c r="R130" i="24"/>
  <c r="Q131" i="24"/>
  <c r="M117" i="24"/>
  <c r="N117" i="24"/>
  <c r="L347" i="24" s="1"/>
  <c r="J119" i="24"/>
  <c r="K118" i="24"/>
  <c r="AH261" i="24"/>
  <c r="AI261" i="24"/>
  <c r="AH261" i="23"/>
  <c r="AI261" i="23"/>
  <c r="AF262" i="23"/>
  <c r="AE263" i="23"/>
  <c r="T129" i="23"/>
  <c r="U129" i="23"/>
  <c r="J119" i="23"/>
  <c r="K118" i="23"/>
  <c r="M117" i="23"/>
  <c r="N117" i="23"/>
  <c r="L347" i="23" s="1"/>
  <c r="C118" i="23"/>
  <c r="D117" i="23"/>
  <c r="AA225" i="23"/>
  <c r="AB225" i="23"/>
  <c r="AK225" i="23" s="1"/>
  <c r="Y226" i="23"/>
  <c r="X227" i="23"/>
  <c r="R130" i="23"/>
  <c r="Q131" i="23"/>
  <c r="T73" i="16"/>
  <c r="V72" i="16"/>
  <c r="U74" i="16"/>
  <c r="O27" i="17"/>
  <c r="P17" i="17" s="1"/>
  <c r="P16" i="17" s="1"/>
  <c r="L17" i="16"/>
  <c r="M15" i="16"/>
  <c r="AC15" i="16" s="1"/>
  <c r="M38" i="17"/>
  <c r="J25" i="17"/>
  <c r="N26" i="17"/>
  <c r="N36" i="17"/>
  <c r="N39" i="17" s="1"/>
  <c r="AE15" i="16" l="1"/>
  <c r="Y152" i="16" s="1"/>
  <c r="R141" i="25"/>
  <c r="Q142" i="25"/>
  <c r="X228" i="26"/>
  <c r="Y227" i="26"/>
  <c r="AA227" i="26" s="1"/>
  <c r="J120" i="26"/>
  <c r="K119" i="26"/>
  <c r="M119" i="26" s="1"/>
  <c r="AA226" i="26"/>
  <c r="M118" i="26"/>
  <c r="AE264" i="26"/>
  <c r="AF263" i="26"/>
  <c r="AH263" i="26" s="1"/>
  <c r="C119" i="26"/>
  <c r="D118" i="26"/>
  <c r="T142" i="26"/>
  <c r="AH262" i="26"/>
  <c r="F117" i="26"/>
  <c r="G117" i="26"/>
  <c r="R143" i="26"/>
  <c r="T143" i="26" s="1"/>
  <c r="Q144" i="26"/>
  <c r="X228" i="25"/>
  <c r="Y227" i="25"/>
  <c r="AA227" i="25" s="1"/>
  <c r="L346" i="25"/>
  <c r="AK117" i="25"/>
  <c r="AA226" i="25"/>
  <c r="AE264" i="25"/>
  <c r="AF263" i="25"/>
  <c r="AH263" i="25" s="1"/>
  <c r="D119" i="25"/>
  <c r="F119" i="25" s="1"/>
  <c r="C120" i="25"/>
  <c r="AH262" i="25"/>
  <c r="J121" i="25"/>
  <c r="K120" i="25"/>
  <c r="F118" i="25"/>
  <c r="K119" i="24"/>
  <c r="M119" i="24" s="1"/>
  <c r="J120" i="24"/>
  <c r="T130" i="24"/>
  <c r="F118" i="24"/>
  <c r="R131" i="24"/>
  <c r="T131" i="24" s="1"/>
  <c r="Q132" i="24"/>
  <c r="D119" i="24"/>
  <c r="F119" i="24" s="1"/>
  <c r="C120" i="24"/>
  <c r="L346" i="24"/>
  <c r="AK117" i="24"/>
  <c r="AE264" i="24"/>
  <c r="AF263" i="24"/>
  <c r="AH263" i="24" s="1"/>
  <c r="X228" i="24"/>
  <c r="Y227" i="24"/>
  <c r="AA227" i="24" s="1"/>
  <c r="M118" i="24"/>
  <c r="AH262" i="24"/>
  <c r="AA226" i="24"/>
  <c r="Y227" i="23"/>
  <c r="AA227" i="23" s="1"/>
  <c r="X228" i="23"/>
  <c r="T130" i="23"/>
  <c r="R131" i="23"/>
  <c r="T131" i="23" s="1"/>
  <c r="Q132" i="23"/>
  <c r="AA226" i="23"/>
  <c r="D118" i="23"/>
  <c r="C119" i="23"/>
  <c r="J120" i="23"/>
  <c r="K119" i="23"/>
  <c r="M119" i="23" s="1"/>
  <c r="AH262" i="23"/>
  <c r="F117" i="23"/>
  <c r="G117" i="23"/>
  <c r="M118" i="23"/>
  <c r="AF263" i="23"/>
  <c r="AH263" i="23" s="1"/>
  <c r="AE264" i="23"/>
  <c r="AB17" i="16"/>
  <c r="W72" i="16"/>
  <c r="T74" i="16"/>
  <c r="V73" i="16"/>
  <c r="W73" i="16" s="1"/>
  <c r="U75" i="16"/>
  <c r="P27" i="17"/>
  <c r="Q17" i="17" s="1"/>
  <c r="S21" i="17"/>
  <c r="M16" i="16"/>
  <c r="K17" i="16"/>
  <c r="AA17" i="16" s="1"/>
  <c r="L18" i="16"/>
  <c r="AB18" i="16" s="1"/>
  <c r="O15" i="16"/>
  <c r="N15" i="16"/>
  <c r="AD15" i="16" s="1"/>
  <c r="N38" i="17"/>
  <c r="K15" i="17"/>
  <c r="Q29" i="17"/>
  <c r="I152" i="16" l="1"/>
  <c r="AF15" i="16"/>
  <c r="Q143" i="25"/>
  <c r="R142" i="25"/>
  <c r="T142" i="25" s="1"/>
  <c r="T141" i="25"/>
  <c r="U141" i="25"/>
  <c r="AE265" i="26"/>
  <c r="AF264" i="26"/>
  <c r="AH264" i="26" s="1"/>
  <c r="X229" i="26"/>
  <c r="Y228" i="26"/>
  <c r="L346" i="26"/>
  <c r="AK117" i="26"/>
  <c r="C120" i="26"/>
  <c r="D119" i="26"/>
  <c r="F119" i="26" s="1"/>
  <c r="J121" i="26"/>
  <c r="K120" i="26"/>
  <c r="R144" i="26"/>
  <c r="Q145" i="26"/>
  <c r="F118" i="26"/>
  <c r="K121" i="25"/>
  <c r="M121" i="25" s="1"/>
  <c r="J122" i="25"/>
  <c r="X229" i="25"/>
  <c r="Y228" i="25"/>
  <c r="M120" i="25"/>
  <c r="C121" i="25"/>
  <c r="D120" i="25"/>
  <c r="F120" i="25" s="1"/>
  <c r="AE265" i="25"/>
  <c r="AF264" i="25"/>
  <c r="AE265" i="24"/>
  <c r="AF264" i="24"/>
  <c r="AH264" i="24" s="1"/>
  <c r="D120" i="24"/>
  <c r="C121" i="24"/>
  <c r="K120" i="24"/>
  <c r="J121" i="24"/>
  <c r="X229" i="24"/>
  <c r="Y228" i="24"/>
  <c r="R132" i="24"/>
  <c r="T132" i="24" s="1"/>
  <c r="Q133" i="24"/>
  <c r="F118" i="23"/>
  <c r="C120" i="23"/>
  <c r="D119" i="23"/>
  <c r="F119" i="23" s="1"/>
  <c r="R132" i="23"/>
  <c r="T132" i="23" s="1"/>
  <c r="Q133" i="23"/>
  <c r="Y228" i="23"/>
  <c r="AA228" i="23" s="1"/>
  <c r="X229" i="23"/>
  <c r="K120" i="23"/>
  <c r="J121" i="23"/>
  <c r="AF264" i="23"/>
  <c r="AE265" i="23"/>
  <c r="L346" i="23"/>
  <c r="AK117" i="23"/>
  <c r="AC16" i="16"/>
  <c r="T75" i="16"/>
  <c r="V74" i="16"/>
  <c r="W74" i="16" s="1"/>
  <c r="U76" i="16"/>
  <c r="Q28" i="17"/>
  <c r="R18" i="17" s="1"/>
  <c r="R29" i="17" s="1"/>
  <c r="Q16" i="17"/>
  <c r="S39" i="17"/>
  <c r="N16" i="16"/>
  <c r="L19" i="16"/>
  <c r="AB19" i="16" s="1"/>
  <c r="K18" i="16"/>
  <c r="AA18" i="16" s="1"/>
  <c r="M17" i="16"/>
  <c r="O26" i="17"/>
  <c r="O36" i="17"/>
  <c r="O39" i="17" s="1"/>
  <c r="Q27" i="17"/>
  <c r="R17" i="17" s="1"/>
  <c r="K25" i="17"/>
  <c r="F13" i="9"/>
  <c r="G13" i="9" s="1"/>
  <c r="H13" i="9" s="1"/>
  <c r="I13" i="9" s="1"/>
  <c r="J13" i="9" s="1"/>
  <c r="K13" i="9" s="1"/>
  <c r="L13" i="9" s="1"/>
  <c r="G12" i="9"/>
  <c r="H12" i="9" s="1"/>
  <c r="I12" i="9" s="1"/>
  <c r="J12" i="9" s="1"/>
  <c r="K12" i="9" s="1"/>
  <c r="R143" i="25" l="1"/>
  <c r="T143" i="25" s="1"/>
  <c r="Q144" i="25"/>
  <c r="J122" i="26"/>
  <c r="K121" i="26"/>
  <c r="M121" i="26" s="1"/>
  <c r="AE266" i="26"/>
  <c r="AF265" i="26"/>
  <c r="AH265" i="26" s="1"/>
  <c r="M120" i="26"/>
  <c r="T144" i="26"/>
  <c r="C121" i="26"/>
  <c r="D120" i="26"/>
  <c r="X230" i="26"/>
  <c r="Y229" i="26"/>
  <c r="AA229" i="26" s="1"/>
  <c r="R145" i="26"/>
  <c r="T145" i="26" s="1"/>
  <c r="Q146" i="26"/>
  <c r="AA228" i="26"/>
  <c r="AE266" i="25"/>
  <c r="AF265" i="25"/>
  <c r="AH265" i="25" s="1"/>
  <c r="AH264" i="25"/>
  <c r="J123" i="25"/>
  <c r="K122" i="25"/>
  <c r="D121" i="25"/>
  <c r="C122" i="25"/>
  <c r="X230" i="25"/>
  <c r="Y229" i="25"/>
  <c r="AA229" i="25" s="1"/>
  <c r="AA228" i="25"/>
  <c r="M120" i="24"/>
  <c r="AE266" i="24"/>
  <c r="AF265" i="24"/>
  <c r="K121" i="24"/>
  <c r="M121" i="24" s="1"/>
  <c r="J122" i="24"/>
  <c r="X230" i="24"/>
  <c r="Y229" i="24"/>
  <c r="AA229" i="24" s="1"/>
  <c r="F120" i="24"/>
  <c r="R133" i="24"/>
  <c r="Q134" i="24"/>
  <c r="AA228" i="24"/>
  <c r="D121" i="24"/>
  <c r="F121" i="24" s="1"/>
  <c r="C122" i="24"/>
  <c r="M120" i="23"/>
  <c r="J122" i="23"/>
  <c r="K121" i="23"/>
  <c r="M121" i="23" s="1"/>
  <c r="R133" i="23"/>
  <c r="T133" i="23" s="1"/>
  <c r="Q134" i="23"/>
  <c r="D120" i="23"/>
  <c r="C121" i="23"/>
  <c r="AF265" i="23"/>
  <c r="AH265" i="23" s="1"/>
  <c r="AE266" i="23"/>
  <c r="AH264" i="23"/>
  <c r="Y229" i="23"/>
  <c r="AA229" i="23" s="1"/>
  <c r="X230" i="23"/>
  <c r="AD16" i="16"/>
  <c r="N17" i="16"/>
  <c r="AD17" i="16" s="1"/>
  <c r="AC17" i="16"/>
  <c r="T76" i="16"/>
  <c r="V75" i="16"/>
  <c r="U77" i="16"/>
  <c r="R28" i="17"/>
  <c r="R16" i="17"/>
  <c r="M18" i="16"/>
  <c r="K19" i="16"/>
  <c r="AA19" i="16" s="1"/>
  <c r="L20" i="16"/>
  <c r="R27" i="17"/>
  <c r="O38" i="17"/>
  <c r="L15" i="17"/>
  <c r="Q145" i="25" l="1"/>
  <c r="R144" i="25"/>
  <c r="T144" i="25" s="1"/>
  <c r="J123" i="26"/>
  <c r="K122" i="26"/>
  <c r="M122" i="26" s="1"/>
  <c r="C122" i="26"/>
  <c r="D121" i="26"/>
  <c r="F121" i="26" s="1"/>
  <c r="F120" i="26"/>
  <c r="AE267" i="26"/>
  <c r="AF266" i="26"/>
  <c r="R146" i="26"/>
  <c r="Q147" i="26"/>
  <c r="X231" i="26"/>
  <c r="Y230" i="26"/>
  <c r="AA230" i="26" s="1"/>
  <c r="X231" i="25"/>
  <c r="Y230" i="25"/>
  <c r="AA230" i="25" s="1"/>
  <c r="F121" i="25"/>
  <c r="K123" i="25"/>
  <c r="M123" i="25" s="1"/>
  <c r="J124" i="25"/>
  <c r="AE267" i="25"/>
  <c r="AF266" i="25"/>
  <c r="C123" i="25"/>
  <c r="D122" i="25"/>
  <c r="F122" i="25" s="1"/>
  <c r="M122" i="25"/>
  <c r="K122" i="24"/>
  <c r="M122" i="24" s="1"/>
  <c r="J123" i="24"/>
  <c r="T133" i="24"/>
  <c r="X231" i="24"/>
  <c r="Y230" i="24"/>
  <c r="AE267" i="24"/>
  <c r="AF266" i="24"/>
  <c r="AH266" i="24" s="1"/>
  <c r="D122" i="24"/>
  <c r="C123" i="24"/>
  <c r="R134" i="24"/>
  <c r="T134" i="24" s="1"/>
  <c r="Q135" i="24"/>
  <c r="AH265" i="24"/>
  <c r="C122" i="23"/>
  <c r="D121" i="23"/>
  <c r="F121" i="23" s="1"/>
  <c r="R134" i="23"/>
  <c r="Q135" i="23"/>
  <c r="K122" i="23"/>
  <c r="J123" i="23"/>
  <c r="Y230" i="23"/>
  <c r="X231" i="23"/>
  <c r="AF266" i="23"/>
  <c r="AE267" i="23"/>
  <c r="F120" i="23"/>
  <c r="N18" i="16"/>
  <c r="AC18" i="16"/>
  <c r="AB20" i="16"/>
  <c r="W75" i="16"/>
  <c r="X75" i="16"/>
  <c r="T77" i="16"/>
  <c r="V76" i="16"/>
  <c r="U78" i="16"/>
  <c r="L21" i="16"/>
  <c r="AB21" i="16" s="1"/>
  <c r="M19" i="16"/>
  <c r="K20" i="16"/>
  <c r="AA20" i="16" s="1"/>
  <c r="L25" i="17"/>
  <c r="P26" i="17"/>
  <c r="P36" i="17"/>
  <c r="P39" i="17" s="1"/>
  <c r="Q146" i="25" l="1"/>
  <c r="R145" i="25"/>
  <c r="T145" i="25" s="1"/>
  <c r="X232" i="26"/>
  <c r="Y231" i="26"/>
  <c r="AA231" i="26" s="1"/>
  <c r="AH266" i="26"/>
  <c r="J124" i="26"/>
  <c r="K123" i="26"/>
  <c r="T146" i="26"/>
  <c r="C123" i="26"/>
  <c r="D122" i="26"/>
  <c r="R147" i="26"/>
  <c r="T147" i="26" s="1"/>
  <c r="Q148" i="26"/>
  <c r="AE268" i="26"/>
  <c r="AF267" i="26"/>
  <c r="AH267" i="26" s="1"/>
  <c r="AE268" i="25"/>
  <c r="AF267" i="25"/>
  <c r="AH267" i="25" s="1"/>
  <c r="X232" i="25"/>
  <c r="Y231" i="25"/>
  <c r="AA231" i="25" s="1"/>
  <c r="D123" i="25"/>
  <c r="C124" i="25"/>
  <c r="AH266" i="25"/>
  <c r="J125" i="25"/>
  <c r="K124" i="25"/>
  <c r="F122" i="24"/>
  <c r="X232" i="24"/>
  <c r="Y231" i="24"/>
  <c r="AA231" i="24" s="1"/>
  <c r="D123" i="24"/>
  <c r="F123" i="24" s="1"/>
  <c r="C124" i="24"/>
  <c r="AA230" i="24"/>
  <c r="K123" i="24"/>
  <c r="M123" i="24" s="1"/>
  <c r="J124" i="24"/>
  <c r="AE268" i="24"/>
  <c r="AF267" i="24"/>
  <c r="R135" i="24"/>
  <c r="T135" i="24" s="1"/>
  <c r="Q136" i="24"/>
  <c r="M122" i="23"/>
  <c r="D122" i="23"/>
  <c r="F122" i="23" s="1"/>
  <c r="C123" i="23"/>
  <c r="J124" i="23"/>
  <c r="K123" i="23"/>
  <c r="M123" i="23" s="1"/>
  <c r="AH266" i="23"/>
  <c r="T134" i="23"/>
  <c r="AF267" i="23"/>
  <c r="AH267" i="23" s="1"/>
  <c r="AE268" i="23"/>
  <c r="AA230" i="23"/>
  <c r="Y231" i="23"/>
  <c r="AA231" i="23" s="1"/>
  <c r="X232" i="23"/>
  <c r="R135" i="23"/>
  <c r="T135" i="23" s="1"/>
  <c r="Q136" i="23"/>
  <c r="AD18" i="16"/>
  <c r="AC19" i="16"/>
  <c r="W76" i="16"/>
  <c r="T78" i="16"/>
  <c r="V77" i="16"/>
  <c r="W77" i="16" s="1"/>
  <c r="U79" i="16"/>
  <c r="L22" i="16"/>
  <c r="AB22" i="16" s="1"/>
  <c r="N19" i="16"/>
  <c r="AD19" i="16" s="1"/>
  <c r="M20" i="16"/>
  <c r="K21" i="16"/>
  <c r="AA21" i="16" s="1"/>
  <c r="P38" i="17"/>
  <c r="M15" i="17"/>
  <c r="R146" i="25" l="1"/>
  <c r="T146" i="25" s="1"/>
  <c r="Q147" i="25"/>
  <c r="R148" i="26"/>
  <c r="T148" i="26" s="1"/>
  <c r="Q149" i="26"/>
  <c r="K124" i="26"/>
  <c r="M124" i="26" s="1"/>
  <c r="J125" i="26"/>
  <c r="X233" i="26"/>
  <c r="Y232" i="26"/>
  <c r="AA232" i="26" s="1"/>
  <c r="AE269" i="26"/>
  <c r="AF268" i="26"/>
  <c r="C124" i="26"/>
  <c r="D123" i="26"/>
  <c r="F123" i="26" s="1"/>
  <c r="M123" i="26"/>
  <c r="F122" i="26"/>
  <c r="M124" i="25"/>
  <c r="F123" i="25"/>
  <c r="AE269" i="25"/>
  <c r="AF268" i="25"/>
  <c r="AH268" i="25" s="1"/>
  <c r="X233" i="25"/>
  <c r="Y232" i="25"/>
  <c r="C125" i="25"/>
  <c r="D124" i="25"/>
  <c r="F124" i="25" s="1"/>
  <c r="K125" i="25"/>
  <c r="M125" i="25" s="1"/>
  <c r="J126" i="25"/>
  <c r="K124" i="24"/>
  <c r="M124" i="24" s="1"/>
  <c r="J125" i="24"/>
  <c r="AE269" i="24"/>
  <c r="AF268" i="24"/>
  <c r="AH268" i="24" s="1"/>
  <c r="X233" i="24"/>
  <c r="Y232" i="24"/>
  <c r="R136" i="24"/>
  <c r="T136" i="24" s="1"/>
  <c r="Q137" i="24"/>
  <c r="D124" i="24"/>
  <c r="C125" i="24"/>
  <c r="AH267" i="24"/>
  <c r="K124" i="23"/>
  <c r="M124" i="23" s="1"/>
  <c r="J125" i="23"/>
  <c r="R136" i="23"/>
  <c r="Q137" i="23"/>
  <c r="Y232" i="23"/>
  <c r="X233" i="23"/>
  <c r="AF268" i="23"/>
  <c r="AH268" i="23" s="1"/>
  <c r="AE269" i="23"/>
  <c r="C124" i="23"/>
  <c r="D123" i="23"/>
  <c r="N20" i="16"/>
  <c r="AC20" i="16"/>
  <c r="T79" i="16"/>
  <c r="V78" i="16"/>
  <c r="U80" i="16"/>
  <c r="K22" i="16"/>
  <c r="AA22" i="16" s="1"/>
  <c r="M21" i="16"/>
  <c r="L23" i="16"/>
  <c r="AB23" i="16" s="1"/>
  <c r="Q36" i="17"/>
  <c r="Q39" i="17" s="1"/>
  <c r="Q26" i="17"/>
  <c r="M25" i="17"/>
  <c r="R147" i="25" l="1"/>
  <c r="T147" i="25" s="1"/>
  <c r="Q148" i="25"/>
  <c r="AH268" i="26"/>
  <c r="X234" i="26"/>
  <c r="Y233" i="26"/>
  <c r="AA233" i="26" s="1"/>
  <c r="C125" i="26"/>
  <c r="D124" i="26"/>
  <c r="R149" i="26"/>
  <c r="T149" i="26" s="1"/>
  <c r="Q150" i="26"/>
  <c r="AE270" i="26"/>
  <c r="AF269" i="26"/>
  <c r="AH269" i="26" s="1"/>
  <c r="K125" i="26"/>
  <c r="J126" i="26"/>
  <c r="D125" i="25"/>
  <c r="F125" i="25" s="1"/>
  <c r="C126" i="25"/>
  <c r="AE270" i="25"/>
  <c r="AF269" i="25"/>
  <c r="AH269" i="25" s="1"/>
  <c r="X234" i="25"/>
  <c r="Y233" i="25"/>
  <c r="AA233" i="25" s="1"/>
  <c r="J127" i="25"/>
  <c r="K126" i="25"/>
  <c r="AA232" i="25"/>
  <c r="R137" i="24"/>
  <c r="T137" i="24" s="1"/>
  <c r="Q138" i="24"/>
  <c r="X234" i="24"/>
  <c r="Y233" i="24"/>
  <c r="AA233" i="24" s="1"/>
  <c r="AA232" i="24"/>
  <c r="F124" i="24"/>
  <c r="K125" i="24"/>
  <c r="M125" i="24" s="1"/>
  <c r="J126" i="24"/>
  <c r="D125" i="24"/>
  <c r="F125" i="24" s="1"/>
  <c r="C126" i="24"/>
  <c r="AE270" i="24"/>
  <c r="AF269" i="24"/>
  <c r="AA232" i="23"/>
  <c r="T136" i="23"/>
  <c r="AF269" i="23"/>
  <c r="AE270" i="23"/>
  <c r="D124" i="23"/>
  <c r="F124" i="23" s="1"/>
  <c r="C125" i="23"/>
  <c r="J126" i="23"/>
  <c r="K125" i="23"/>
  <c r="F123" i="23"/>
  <c r="Y233" i="23"/>
  <c r="AA233" i="23" s="1"/>
  <c r="X234" i="23"/>
  <c r="R137" i="23"/>
  <c r="T137" i="23" s="1"/>
  <c r="Q138" i="23"/>
  <c r="W78" i="16"/>
  <c r="AD20" i="16"/>
  <c r="N21" i="16"/>
  <c r="AD21" i="16" s="1"/>
  <c r="AC21" i="16"/>
  <c r="T80" i="16"/>
  <c r="V79" i="16"/>
  <c r="W79" i="16" s="1"/>
  <c r="U81" i="16"/>
  <c r="L24" i="16"/>
  <c r="AB24" i="16" s="1"/>
  <c r="M22" i="16"/>
  <c r="AC22" i="16" s="1"/>
  <c r="K23" i="16"/>
  <c r="AA23" i="16" s="1"/>
  <c r="N15" i="17"/>
  <c r="Q38" i="17"/>
  <c r="Q149" i="25" l="1"/>
  <c r="R148" i="25"/>
  <c r="T148" i="25" s="1"/>
  <c r="K126" i="26"/>
  <c r="M126" i="26" s="1"/>
  <c r="J127" i="26"/>
  <c r="D125" i="26"/>
  <c r="F125" i="26" s="1"/>
  <c r="C126" i="26"/>
  <c r="AE271" i="26"/>
  <c r="AF270" i="26"/>
  <c r="AH270" i="26" s="1"/>
  <c r="F124" i="26"/>
  <c r="X235" i="26"/>
  <c r="Y234" i="26"/>
  <c r="AA234" i="26" s="1"/>
  <c r="M125" i="26"/>
  <c r="R150" i="26"/>
  <c r="T150" i="26" s="1"/>
  <c r="Q151" i="26"/>
  <c r="AE271" i="25"/>
  <c r="AF270" i="25"/>
  <c r="AH270" i="25" s="1"/>
  <c r="M126" i="25"/>
  <c r="X235" i="25"/>
  <c r="Y234" i="25"/>
  <c r="AA234" i="25" s="1"/>
  <c r="K127" i="25"/>
  <c r="M127" i="25" s="1"/>
  <c r="J128" i="25"/>
  <c r="C127" i="25"/>
  <c r="D126" i="25"/>
  <c r="F126" i="25" s="1"/>
  <c r="AE271" i="24"/>
  <c r="AF270" i="24"/>
  <c r="AH270" i="24" s="1"/>
  <c r="AH269" i="24"/>
  <c r="K126" i="24"/>
  <c r="M126" i="24" s="1"/>
  <c r="J127" i="24"/>
  <c r="R138" i="24"/>
  <c r="T138" i="24" s="1"/>
  <c r="Q139" i="24"/>
  <c r="X235" i="24"/>
  <c r="Y234" i="24"/>
  <c r="D126" i="24"/>
  <c r="C127" i="24"/>
  <c r="K126" i="23"/>
  <c r="M126" i="23" s="1"/>
  <c r="J127" i="23"/>
  <c r="AH269" i="23"/>
  <c r="Y234" i="23"/>
  <c r="AA234" i="23" s="1"/>
  <c r="X235" i="23"/>
  <c r="M125" i="23"/>
  <c r="AF270" i="23"/>
  <c r="AH270" i="23" s="1"/>
  <c r="AE271" i="23"/>
  <c r="R138" i="23"/>
  <c r="T138" i="23" s="1"/>
  <c r="Q139" i="23"/>
  <c r="C126" i="23"/>
  <c r="D125" i="23"/>
  <c r="F125" i="23" s="1"/>
  <c r="T81" i="16"/>
  <c r="V80" i="16"/>
  <c r="U82" i="16"/>
  <c r="N22" i="16"/>
  <c r="AD22" i="16" s="1"/>
  <c r="M23" i="16"/>
  <c r="K24" i="16"/>
  <c r="AA24" i="16" s="1"/>
  <c r="L25" i="16"/>
  <c r="AB25" i="16" s="1"/>
  <c r="R26" i="17"/>
  <c r="R36" i="17"/>
  <c r="R39" i="17" s="1"/>
  <c r="N25" i="17"/>
  <c r="R149" i="25" l="1"/>
  <c r="T149" i="25" s="1"/>
  <c r="Q150" i="25"/>
  <c r="D126" i="26"/>
  <c r="C127" i="26"/>
  <c r="X236" i="26"/>
  <c r="Y235" i="26"/>
  <c r="AA235" i="26" s="1"/>
  <c r="AE272" i="26"/>
  <c r="AF271" i="26"/>
  <c r="AH271" i="26" s="1"/>
  <c r="R151" i="26"/>
  <c r="T151" i="26" s="1"/>
  <c r="Q152" i="26"/>
  <c r="K127" i="26"/>
  <c r="M127" i="26" s="1"/>
  <c r="J128" i="26"/>
  <c r="AE272" i="25"/>
  <c r="AF271" i="25"/>
  <c r="AH271" i="25" s="1"/>
  <c r="J129" i="25"/>
  <c r="K128" i="25"/>
  <c r="M128" i="25" s="1"/>
  <c r="X236" i="25"/>
  <c r="Y235" i="25"/>
  <c r="AA235" i="25" s="1"/>
  <c r="D127" i="25"/>
  <c r="F127" i="25" s="1"/>
  <c r="C128" i="25"/>
  <c r="X236" i="24"/>
  <c r="Y235" i="24"/>
  <c r="AA235" i="24" s="1"/>
  <c r="AE272" i="24"/>
  <c r="AF271" i="24"/>
  <c r="AH271" i="24" s="1"/>
  <c r="K127" i="24"/>
  <c r="M127" i="24" s="1"/>
  <c r="J128" i="24"/>
  <c r="AA234" i="24"/>
  <c r="F126" i="24"/>
  <c r="D127" i="24"/>
  <c r="F127" i="24" s="1"/>
  <c r="C128" i="24"/>
  <c r="R139" i="24"/>
  <c r="T139" i="24" s="1"/>
  <c r="Q140" i="24"/>
  <c r="Y235" i="23"/>
  <c r="AA235" i="23" s="1"/>
  <c r="X236" i="23"/>
  <c r="K127" i="23"/>
  <c r="M127" i="23" s="1"/>
  <c r="J128" i="23"/>
  <c r="D126" i="23"/>
  <c r="F126" i="23" s="1"/>
  <c r="C127" i="23"/>
  <c r="AF271" i="23"/>
  <c r="AH271" i="23" s="1"/>
  <c r="AE272" i="23"/>
  <c r="R139" i="23"/>
  <c r="T139" i="23" s="1"/>
  <c r="Q140" i="23"/>
  <c r="W80" i="16"/>
  <c r="N23" i="16"/>
  <c r="AC23" i="16"/>
  <c r="T82" i="16"/>
  <c r="V81" i="16"/>
  <c r="W81" i="16" s="1"/>
  <c r="U83" i="16"/>
  <c r="L26" i="16"/>
  <c r="M24" i="16"/>
  <c r="K25" i="16"/>
  <c r="AA25" i="16" s="1"/>
  <c r="O15" i="17"/>
  <c r="R38" i="17"/>
  <c r="Q151" i="25" l="1"/>
  <c r="R150" i="25"/>
  <c r="T150" i="25" s="1"/>
  <c r="AE273" i="26"/>
  <c r="AF272" i="26"/>
  <c r="AH272" i="26" s="1"/>
  <c r="F126" i="26"/>
  <c r="K128" i="26"/>
  <c r="M128" i="26" s="1"/>
  <c r="J129" i="26"/>
  <c r="D127" i="26"/>
  <c r="F127" i="26" s="1"/>
  <c r="C128" i="26"/>
  <c r="X237" i="26"/>
  <c r="Y236" i="26"/>
  <c r="AA236" i="26" s="1"/>
  <c r="Q153" i="26"/>
  <c r="R152" i="26"/>
  <c r="T152" i="26" s="1"/>
  <c r="J130" i="25"/>
  <c r="K129" i="25"/>
  <c r="X237" i="25"/>
  <c r="Y236" i="25"/>
  <c r="AA236" i="25" s="1"/>
  <c r="AE273" i="25"/>
  <c r="AF272" i="25"/>
  <c r="AH272" i="25" s="1"/>
  <c r="C129" i="25"/>
  <c r="D128" i="25"/>
  <c r="F128" i="25" s="1"/>
  <c r="X237" i="24"/>
  <c r="Y236" i="24"/>
  <c r="AA236" i="24" s="1"/>
  <c r="J129" i="24"/>
  <c r="K128" i="24"/>
  <c r="M128" i="24" s="1"/>
  <c r="AE273" i="24"/>
  <c r="AF272" i="24"/>
  <c r="AH272" i="24" s="1"/>
  <c r="Q141" i="24"/>
  <c r="R140" i="24"/>
  <c r="T140" i="24" s="1"/>
  <c r="D128" i="24"/>
  <c r="F128" i="24" s="1"/>
  <c r="C129" i="24"/>
  <c r="Q141" i="23"/>
  <c r="R140" i="23"/>
  <c r="T140" i="23" s="1"/>
  <c r="D127" i="23"/>
  <c r="F127" i="23" s="1"/>
  <c r="C128" i="23"/>
  <c r="Y236" i="23"/>
  <c r="AA236" i="23" s="1"/>
  <c r="X237" i="23"/>
  <c r="AE273" i="23"/>
  <c r="AF272" i="23"/>
  <c r="AH272" i="23" s="1"/>
  <c r="J129" i="23"/>
  <c r="K128" i="23"/>
  <c r="M128" i="23" s="1"/>
  <c r="N24" i="16"/>
  <c r="AD24" i="16" s="1"/>
  <c r="AC24" i="16"/>
  <c r="AD23" i="16"/>
  <c r="T83" i="16"/>
  <c r="V82" i="16"/>
  <c r="W82" i="16" s="1"/>
  <c r="U84" i="16"/>
  <c r="L27" i="16"/>
  <c r="M25" i="16"/>
  <c r="K26" i="16"/>
  <c r="O25" i="17"/>
  <c r="R151" i="25" l="1"/>
  <c r="T151" i="25" s="1"/>
  <c r="Q152" i="25"/>
  <c r="D128" i="26"/>
  <c r="F128" i="26" s="1"/>
  <c r="C129" i="26"/>
  <c r="X238" i="26"/>
  <c r="Y237" i="26"/>
  <c r="AF273" i="26"/>
  <c r="AE274" i="26"/>
  <c r="J130" i="26"/>
  <c r="K129" i="26"/>
  <c r="R153" i="26"/>
  <c r="Q154" i="26"/>
  <c r="AF273" i="25"/>
  <c r="AE274" i="25"/>
  <c r="J131" i="25"/>
  <c r="K130" i="25"/>
  <c r="M129" i="25"/>
  <c r="N129" i="25"/>
  <c r="M347" i="25" s="1"/>
  <c r="D129" i="25"/>
  <c r="C130" i="25"/>
  <c r="X238" i="25"/>
  <c r="Y237" i="25"/>
  <c r="AE274" i="24"/>
  <c r="AF273" i="24"/>
  <c r="D129" i="24"/>
  <c r="C130" i="24"/>
  <c r="X238" i="24"/>
  <c r="Y237" i="24"/>
  <c r="R141" i="24"/>
  <c r="Q142" i="24"/>
  <c r="K129" i="24"/>
  <c r="J130" i="24"/>
  <c r="R141" i="23"/>
  <c r="Q142" i="23"/>
  <c r="K129" i="23"/>
  <c r="J130" i="23"/>
  <c r="Y237" i="23"/>
  <c r="X238" i="23"/>
  <c r="AF273" i="23"/>
  <c r="AE274" i="23"/>
  <c r="D128" i="23"/>
  <c r="F128" i="23" s="1"/>
  <c r="C129" i="23"/>
  <c r="N25" i="16"/>
  <c r="AD25" i="16" s="1"/>
  <c r="AC25" i="16"/>
  <c r="T84" i="16"/>
  <c r="V83" i="16"/>
  <c r="U85" i="16"/>
  <c r="L28" i="16"/>
  <c r="K27" i="16"/>
  <c r="M26" i="16"/>
  <c r="N26" i="16" s="1"/>
  <c r="P15" i="17"/>
  <c r="Q153" i="25" l="1"/>
  <c r="R152" i="25"/>
  <c r="T152" i="25" s="1"/>
  <c r="M129" i="26"/>
  <c r="N129" i="26"/>
  <c r="M347" i="26" s="1"/>
  <c r="AA237" i="26"/>
  <c r="AB237" i="26"/>
  <c r="AK237" i="26" s="1"/>
  <c r="V346" i="26" s="1"/>
  <c r="T153" i="26"/>
  <c r="U153" i="26"/>
  <c r="AH273" i="26"/>
  <c r="AI273" i="26"/>
  <c r="R154" i="26"/>
  <c r="Q155" i="26"/>
  <c r="AF274" i="26"/>
  <c r="AE275" i="26"/>
  <c r="D129" i="26"/>
  <c r="C130" i="26"/>
  <c r="J131" i="26"/>
  <c r="K130" i="26"/>
  <c r="X239" i="26"/>
  <c r="Y238" i="26"/>
  <c r="F129" i="25"/>
  <c r="G129" i="25"/>
  <c r="J132" i="25"/>
  <c r="K131" i="25"/>
  <c r="M131" i="25" s="1"/>
  <c r="M130" i="25"/>
  <c r="X239" i="25"/>
  <c r="Y238" i="25"/>
  <c r="AH273" i="25"/>
  <c r="AI273" i="25"/>
  <c r="C131" i="25"/>
  <c r="D130" i="25"/>
  <c r="AA237" i="25"/>
  <c r="AB237" i="25"/>
  <c r="AK237" i="25" s="1"/>
  <c r="V346" i="25" s="1"/>
  <c r="AF274" i="25"/>
  <c r="AE275" i="25"/>
  <c r="X239" i="24"/>
  <c r="Y238" i="24"/>
  <c r="AF274" i="24"/>
  <c r="AE275" i="24"/>
  <c r="J131" i="24"/>
  <c r="K130" i="24"/>
  <c r="T141" i="24"/>
  <c r="U141" i="24"/>
  <c r="M129" i="24"/>
  <c r="N129" i="24"/>
  <c r="M347" i="24" s="1"/>
  <c r="AA237" i="24"/>
  <c r="AB237" i="24"/>
  <c r="AK237" i="24" s="1"/>
  <c r="V346" i="24" s="1"/>
  <c r="AH273" i="24"/>
  <c r="AI273" i="24"/>
  <c r="F129" i="24"/>
  <c r="G129" i="24"/>
  <c r="R142" i="24"/>
  <c r="Q143" i="24"/>
  <c r="D130" i="24"/>
  <c r="C131" i="24"/>
  <c r="AA237" i="23"/>
  <c r="AB237" i="23"/>
  <c r="AK237" i="23" s="1"/>
  <c r="V346" i="23" s="1"/>
  <c r="D129" i="23"/>
  <c r="C130" i="23"/>
  <c r="AH273" i="23"/>
  <c r="AI273" i="23"/>
  <c r="T141" i="23"/>
  <c r="U141" i="23"/>
  <c r="Y238" i="23"/>
  <c r="X239" i="23"/>
  <c r="R142" i="23"/>
  <c r="Q143" i="23"/>
  <c r="M129" i="23"/>
  <c r="N129" i="23"/>
  <c r="M347" i="23" s="1"/>
  <c r="AE275" i="23"/>
  <c r="AF274" i="23"/>
  <c r="J131" i="23"/>
  <c r="K130" i="23"/>
  <c r="W83" i="16"/>
  <c r="T85" i="16"/>
  <c r="V84" i="16"/>
  <c r="W84" i="16" s="1"/>
  <c r="U86" i="16"/>
  <c r="L29" i="16"/>
  <c r="K28" i="16"/>
  <c r="M27" i="16"/>
  <c r="P25" i="17"/>
  <c r="Q154" i="25" l="1"/>
  <c r="R153" i="25"/>
  <c r="X240" i="26"/>
  <c r="Y239" i="26"/>
  <c r="AA239" i="26" s="1"/>
  <c r="F129" i="26"/>
  <c r="G129" i="26"/>
  <c r="T154" i="26"/>
  <c r="AA238" i="26"/>
  <c r="D130" i="26"/>
  <c r="C131" i="26"/>
  <c r="R155" i="26"/>
  <c r="T155" i="26" s="1"/>
  <c r="Q156" i="26"/>
  <c r="K131" i="26"/>
  <c r="M131" i="26" s="1"/>
  <c r="J132" i="26"/>
  <c r="AH274" i="26"/>
  <c r="M130" i="26"/>
  <c r="AF275" i="26"/>
  <c r="AH275" i="26" s="1"/>
  <c r="AE276" i="26"/>
  <c r="M346" i="25"/>
  <c r="AK129" i="25"/>
  <c r="AH274" i="25"/>
  <c r="C132" i="25"/>
  <c r="D131" i="25"/>
  <c r="F131" i="25" s="1"/>
  <c r="X240" i="25"/>
  <c r="Y239" i="25"/>
  <c r="AA239" i="25" s="1"/>
  <c r="K132" i="25"/>
  <c r="J133" i="25"/>
  <c r="AF275" i="25"/>
  <c r="AH275" i="25" s="1"/>
  <c r="AE276" i="25"/>
  <c r="F130" i="25"/>
  <c r="AA238" i="25"/>
  <c r="T142" i="24"/>
  <c r="K131" i="24"/>
  <c r="M131" i="24" s="1"/>
  <c r="J132" i="24"/>
  <c r="X240" i="24"/>
  <c r="Y239" i="24"/>
  <c r="AA239" i="24" s="1"/>
  <c r="M130" i="24"/>
  <c r="AA238" i="24"/>
  <c r="R143" i="24"/>
  <c r="T143" i="24" s="1"/>
  <c r="Q144" i="24"/>
  <c r="F130" i="24"/>
  <c r="AH274" i="24"/>
  <c r="D131" i="24"/>
  <c r="F131" i="24" s="1"/>
  <c r="C132" i="24"/>
  <c r="M346" i="24"/>
  <c r="AK129" i="24"/>
  <c r="AE276" i="24"/>
  <c r="AF275" i="24"/>
  <c r="AH275" i="24" s="1"/>
  <c r="K131" i="23"/>
  <c r="M131" i="23" s="1"/>
  <c r="J132" i="23"/>
  <c r="AA238" i="23"/>
  <c r="Y239" i="23"/>
  <c r="AA239" i="23" s="1"/>
  <c r="X240" i="23"/>
  <c r="M130" i="23"/>
  <c r="AF275" i="23"/>
  <c r="AH275" i="23" s="1"/>
  <c r="AE276" i="23"/>
  <c r="T142" i="23"/>
  <c r="F129" i="23"/>
  <c r="G129" i="23"/>
  <c r="AH274" i="23"/>
  <c r="R143" i="23"/>
  <c r="T143" i="23" s="1"/>
  <c r="Q144" i="23"/>
  <c r="D130" i="23"/>
  <c r="C131" i="23"/>
  <c r="T86" i="16"/>
  <c r="V85" i="16"/>
  <c r="W85" i="16" s="1"/>
  <c r="U87" i="16"/>
  <c r="K29" i="16"/>
  <c r="M28" i="16"/>
  <c r="O27" i="16"/>
  <c r="N27" i="16"/>
  <c r="L30" i="16"/>
  <c r="Q15" i="17"/>
  <c r="T153" i="25" l="1"/>
  <c r="U153" i="25"/>
  <c r="R154" i="25"/>
  <c r="T154" i="25" s="1"/>
  <c r="Q155" i="25"/>
  <c r="AF276" i="26"/>
  <c r="AH276" i="26" s="1"/>
  <c r="AE277" i="26"/>
  <c r="R156" i="26"/>
  <c r="Q157" i="26"/>
  <c r="M346" i="26"/>
  <c r="AK129" i="26"/>
  <c r="F130" i="26"/>
  <c r="X241" i="26"/>
  <c r="Y240" i="26"/>
  <c r="K132" i="26"/>
  <c r="J133" i="26"/>
  <c r="D131" i="26"/>
  <c r="F131" i="26" s="1"/>
  <c r="C132" i="26"/>
  <c r="M132" i="25"/>
  <c r="D132" i="25"/>
  <c r="C133" i="25"/>
  <c r="X241" i="25"/>
  <c r="Y240" i="25"/>
  <c r="J134" i="25"/>
  <c r="K133" i="25"/>
  <c r="M133" i="25" s="1"/>
  <c r="AF276" i="25"/>
  <c r="AH276" i="25" s="1"/>
  <c r="AE277" i="25"/>
  <c r="AF276" i="24"/>
  <c r="AH276" i="24" s="1"/>
  <c r="AE277" i="24"/>
  <c r="X241" i="24"/>
  <c r="Y240" i="24"/>
  <c r="D132" i="24"/>
  <c r="C133" i="24"/>
  <c r="R144" i="24"/>
  <c r="Q145" i="24"/>
  <c r="K132" i="24"/>
  <c r="J133" i="24"/>
  <c r="Y240" i="23"/>
  <c r="AA240" i="23" s="1"/>
  <c r="X241" i="23"/>
  <c r="R144" i="23"/>
  <c r="T144" i="23" s="1"/>
  <c r="Q145" i="23"/>
  <c r="AE277" i="23"/>
  <c r="AF276" i="23"/>
  <c r="AH276" i="23" s="1"/>
  <c r="M346" i="23"/>
  <c r="AK129" i="23"/>
  <c r="K132" i="23"/>
  <c r="M132" i="23" s="1"/>
  <c r="J133" i="23"/>
  <c r="F130" i="23"/>
  <c r="D131" i="23"/>
  <c r="F131" i="23" s="1"/>
  <c r="C132" i="23"/>
  <c r="T87" i="16"/>
  <c r="V86" i="16"/>
  <c r="W86" i="16" s="1"/>
  <c r="U88" i="16"/>
  <c r="K30" i="16"/>
  <c r="M29" i="16"/>
  <c r="N29" i="16" s="1"/>
  <c r="N28" i="16"/>
  <c r="L31" i="16"/>
  <c r="Q25" i="17"/>
  <c r="R155" i="25" l="1"/>
  <c r="T155" i="25" s="1"/>
  <c r="Q156" i="25"/>
  <c r="X242" i="26"/>
  <c r="Y241" i="26"/>
  <c r="AA241" i="26" s="1"/>
  <c r="D132" i="26"/>
  <c r="F132" i="26" s="1"/>
  <c r="C133" i="26"/>
  <c r="AA240" i="26"/>
  <c r="AF277" i="26"/>
  <c r="AE278" i="26"/>
  <c r="M132" i="26"/>
  <c r="T156" i="26"/>
  <c r="K133" i="26"/>
  <c r="M133" i="26" s="1"/>
  <c r="J134" i="26"/>
  <c r="R157" i="26"/>
  <c r="T157" i="26" s="1"/>
  <c r="Q158" i="26"/>
  <c r="AF277" i="25"/>
  <c r="AH277" i="25" s="1"/>
  <c r="AE278" i="25"/>
  <c r="X242" i="25"/>
  <c r="Y241" i="25"/>
  <c r="AA241" i="25" s="1"/>
  <c r="K134" i="25"/>
  <c r="J135" i="25"/>
  <c r="AA240" i="25"/>
  <c r="F132" i="25"/>
  <c r="C134" i="25"/>
  <c r="D133" i="25"/>
  <c r="F133" i="25" s="1"/>
  <c r="K133" i="24"/>
  <c r="M133" i="24" s="1"/>
  <c r="J134" i="24"/>
  <c r="M132" i="24"/>
  <c r="D133" i="24"/>
  <c r="F133" i="24" s="1"/>
  <c r="C134" i="24"/>
  <c r="X242" i="24"/>
  <c r="Y241" i="24"/>
  <c r="AA241" i="24" s="1"/>
  <c r="F132" i="24"/>
  <c r="AE278" i="24"/>
  <c r="AF277" i="24"/>
  <c r="AH277" i="24" s="1"/>
  <c r="T144" i="24"/>
  <c r="R145" i="24"/>
  <c r="T145" i="24" s="1"/>
  <c r="Q146" i="24"/>
  <c r="AA240" i="24"/>
  <c r="AF277" i="23"/>
  <c r="AH277" i="23" s="1"/>
  <c r="AE278" i="23"/>
  <c r="Y241" i="23"/>
  <c r="X242" i="23"/>
  <c r="D132" i="23"/>
  <c r="C133" i="23"/>
  <c r="K133" i="23"/>
  <c r="M133" i="23" s="1"/>
  <c r="J134" i="23"/>
  <c r="R145" i="23"/>
  <c r="Q146" i="23"/>
  <c r="T88" i="16"/>
  <c r="V87" i="16"/>
  <c r="U89" i="16"/>
  <c r="K31" i="16"/>
  <c r="M30" i="16"/>
  <c r="N30" i="16" s="1"/>
  <c r="L32" i="16"/>
  <c r="R15" i="17"/>
  <c r="R156" i="25" l="1"/>
  <c r="T156" i="25" s="1"/>
  <c r="Q157" i="25"/>
  <c r="R158" i="26"/>
  <c r="T158" i="26" s="1"/>
  <c r="Q159" i="26"/>
  <c r="X243" i="26"/>
  <c r="Y242" i="26"/>
  <c r="K134" i="26"/>
  <c r="M134" i="26" s="1"/>
  <c r="J135" i="26"/>
  <c r="AH277" i="26"/>
  <c r="AF278" i="26"/>
  <c r="AH278" i="26" s="1"/>
  <c r="AE279" i="26"/>
  <c r="D133" i="26"/>
  <c r="C134" i="26"/>
  <c r="AF278" i="25"/>
  <c r="AH278" i="25" s="1"/>
  <c r="AE279" i="25"/>
  <c r="M134" i="25"/>
  <c r="J136" i="25"/>
  <c r="K135" i="25"/>
  <c r="M135" i="25" s="1"/>
  <c r="D134" i="25"/>
  <c r="F134" i="25" s="1"/>
  <c r="C135" i="25"/>
  <c r="X243" i="25"/>
  <c r="Y242" i="25"/>
  <c r="K134" i="24"/>
  <c r="M134" i="24" s="1"/>
  <c r="J135" i="24"/>
  <c r="AF278" i="24"/>
  <c r="AE279" i="24"/>
  <c r="X243" i="24"/>
  <c r="Y242" i="24"/>
  <c r="D134" i="24"/>
  <c r="C135" i="24"/>
  <c r="R146" i="24"/>
  <c r="Q147" i="24"/>
  <c r="T145" i="23"/>
  <c r="R146" i="23"/>
  <c r="T146" i="23" s="1"/>
  <c r="Q147" i="23"/>
  <c r="F132" i="23"/>
  <c r="D133" i="23"/>
  <c r="F133" i="23" s="1"/>
  <c r="C134" i="23"/>
  <c r="AE279" i="23"/>
  <c r="AF278" i="23"/>
  <c r="AH278" i="23" s="1"/>
  <c r="AA241" i="23"/>
  <c r="K134" i="23"/>
  <c r="M134" i="23" s="1"/>
  <c r="J135" i="23"/>
  <c r="Y242" i="23"/>
  <c r="AA242" i="23" s="1"/>
  <c r="X243" i="23"/>
  <c r="W87" i="16"/>
  <c r="X87" i="16"/>
  <c r="T89" i="16"/>
  <c r="V88" i="16"/>
  <c r="U90" i="16"/>
  <c r="L33" i="16"/>
  <c r="K32" i="16"/>
  <c r="M31" i="16"/>
  <c r="R25" i="17"/>
  <c r="R157" i="25" l="1"/>
  <c r="T157" i="25" s="1"/>
  <c r="Q158" i="25"/>
  <c r="D134" i="26"/>
  <c r="F134" i="26" s="1"/>
  <c r="C135" i="26"/>
  <c r="R159" i="26"/>
  <c r="Q160" i="26"/>
  <c r="AF279" i="26"/>
  <c r="AH279" i="26" s="1"/>
  <c r="AE280" i="26"/>
  <c r="K135" i="26"/>
  <c r="M135" i="26" s="1"/>
  <c r="J136" i="26"/>
  <c r="X244" i="26"/>
  <c r="Y243" i="26"/>
  <c r="AA243" i="26" s="1"/>
  <c r="F133" i="26"/>
  <c r="AA242" i="26"/>
  <c r="X244" i="25"/>
  <c r="Y243" i="25"/>
  <c r="AA243" i="25" s="1"/>
  <c r="AA242" i="25"/>
  <c r="K136" i="25"/>
  <c r="J137" i="25"/>
  <c r="AF279" i="25"/>
  <c r="AH279" i="25" s="1"/>
  <c r="AE280" i="25"/>
  <c r="C136" i="25"/>
  <c r="D135" i="25"/>
  <c r="F135" i="25" s="1"/>
  <c r="X244" i="24"/>
  <c r="Y243" i="24"/>
  <c r="AA243" i="24" s="1"/>
  <c r="R147" i="24"/>
  <c r="T147" i="24" s="1"/>
  <c r="Q148" i="24"/>
  <c r="AH278" i="24"/>
  <c r="T146" i="24"/>
  <c r="AA242" i="24"/>
  <c r="K135" i="24"/>
  <c r="M135" i="24" s="1"/>
  <c r="J136" i="24"/>
  <c r="F134" i="24"/>
  <c r="D135" i="24"/>
  <c r="F135" i="24" s="1"/>
  <c r="C136" i="24"/>
  <c r="AE280" i="24"/>
  <c r="AF279" i="24"/>
  <c r="AH279" i="24" s="1"/>
  <c r="AF279" i="23"/>
  <c r="AE280" i="23"/>
  <c r="K135" i="23"/>
  <c r="M135" i="23" s="1"/>
  <c r="J136" i="23"/>
  <c r="Y243" i="23"/>
  <c r="AA243" i="23" s="1"/>
  <c r="X244" i="23"/>
  <c r="D134" i="23"/>
  <c r="C135" i="23"/>
  <c r="R147" i="23"/>
  <c r="Q148" i="23"/>
  <c r="W88" i="16"/>
  <c r="T90" i="16"/>
  <c r="V89" i="16"/>
  <c r="W89" i="16" s="1"/>
  <c r="U91" i="16"/>
  <c r="K33" i="16"/>
  <c r="M32" i="16"/>
  <c r="N32" i="16" s="1"/>
  <c r="N31" i="16"/>
  <c r="L34" i="16"/>
  <c r="R158" i="25" l="1"/>
  <c r="T158" i="25" s="1"/>
  <c r="Q159" i="25"/>
  <c r="T159" i="26"/>
  <c r="K136" i="26"/>
  <c r="M136" i="26" s="1"/>
  <c r="J137" i="26"/>
  <c r="R160" i="26"/>
  <c r="T160" i="26" s="1"/>
  <c r="Q161" i="26"/>
  <c r="D135" i="26"/>
  <c r="C136" i="26"/>
  <c r="X245" i="26"/>
  <c r="Y244" i="26"/>
  <c r="AF280" i="26"/>
  <c r="AH280" i="26" s="1"/>
  <c r="AE281" i="26"/>
  <c r="AF280" i="25"/>
  <c r="AH280" i="25" s="1"/>
  <c r="AE281" i="25"/>
  <c r="X245" i="25"/>
  <c r="Y244" i="25"/>
  <c r="D136" i="25"/>
  <c r="C137" i="25"/>
  <c r="M136" i="25"/>
  <c r="J138" i="25"/>
  <c r="K137" i="25"/>
  <c r="M137" i="25" s="1"/>
  <c r="AF280" i="24"/>
  <c r="AH280" i="24" s="1"/>
  <c r="AE281" i="24"/>
  <c r="X245" i="24"/>
  <c r="Y244" i="24"/>
  <c r="D136" i="24"/>
  <c r="C137" i="24"/>
  <c r="K136" i="24"/>
  <c r="J137" i="24"/>
  <c r="R148" i="24"/>
  <c r="T148" i="24" s="1"/>
  <c r="Q149" i="24"/>
  <c r="T147" i="23"/>
  <c r="AH279" i="23"/>
  <c r="R148" i="23"/>
  <c r="T148" i="23" s="1"/>
  <c r="Q149" i="23"/>
  <c r="AE281" i="23"/>
  <c r="AF280" i="23"/>
  <c r="AH280" i="23" s="1"/>
  <c r="F134" i="23"/>
  <c r="Y244" i="23"/>
  <c r="AA244" i="23" s="1"/>
  <c r="X245" i="23"/>
  <c r="D135" i="23"/>
  <c r="F135" i="23" s="1"/>
  <c r="C136" i="23"/>
  <c r="K136" i="23"/>
  <c r="M136" i="23" s="1"/>
  <c r="J137" i="23"/>
  <c r="T91" i="16"/>
  <c r="V90" i="16"/>
  <c r="U92" i="16"/>
  <c r="L35" i="16"/>
  <c r="K34" i="16"/>
  <c r="M33" i="16"/>
  <c r="R159" i="25" l="1"/>
  <c r="T159" i="25" s="1"/>
  <c r="Q160" i="25"/>
  <c r="AF281" i="26"/>
  <c r="AH281" i="26" s="1"/>
  <c r="AE282" i="26"/>
  <c r="X246" i="26"/>
  <c r="Y245" i="26"/>
  <c r="AA245" i="26" s="1"/>
  <c r="AA244" i="26"/>
  <c r="F135" i="26"/>
  <c r="R161" i="26"/>
  <c r="Q162" i="26"/>
  <c r="D136" i="26"/>
  <c r="F136" i="26" s="1"/>
  <c r="C137" i="26"/>
  <c r="K137" i="26"/>
  <c r="M137" i="26" s="1"/>
  <c r="J138" i="26"/>
  <c r="X246" i="25"/>
  <c r="Y245" i="25"/>
  <c r="AA245" i="25" s="1"/>
  <c r="AA244" i="25"/>
  <c r="K138" i="25"/>
  <c r="J139" i="25"/>
  <c r="F136" i="25"/>
  <c r="C138" i="25"/>
  <c r="D137" i="25"/>
  <c r="F137" i="25" s="1"/>
  <c r="AF281" i="25"/>
  <c r="AH281" i="25" s="1"/>
  <c r="AE282" i="25"/>
  <c r="K137" i="24"/>
  <c r="M137" i="24" s="1"/>
  <c r="J138" i="24"/>
  <c r="F136" i="24"/>
  <c r="D137" i="24"/>
  <c r="F137" i="24" s="1"/>
  <c r="C138" i="24"/>
  <c r="X246" i="24"/>
  <c r="Y245" i="24"/>
  <c r="AA245" i="24" s="1"/>
  <c r="AE282" i="24"/>
  <c r="AF281" i="24"/>
  <c r="AH281" i="24" s="1"/>
  <c r="R149" i="24"/>
  <c r="T149" i="24" s="1"/>
  <c r="Q150" i="24"/>
  <c r="M136" i="24"/>
  <c r="AA244" i="24"/>
  <c r="R149" i="23"/>
  <c r="Q150" i="23"/>
  <c r="AF281" i="23"/>
  <c r="AH281" i="23" s="1"/>
  <c r="AE282" i="23"/>
  <c r="D136" i="23"/>
  <c r="C137" i="23"/>
  <c r="K137" i="23"/>
  <c r="M137" i="23" s="1"/>
  <c r="J138" i="23"/>
  <c r="Y245" i="23"/>
  <c r="AA245" i="23" s="1"/>
  <c r="X246" i="23"/>
  <c r="W90" i="16"/>
  <c r="T92" i="16"/>
  <c r="V91" i="16"/>
  <c r="W91" i="16" s="1"/>
  <c r="U93" i="16"/>
  <c r="K35" i="16"/>
  <c r="M34" i="16"/>
  <c r="N34" i="16" s="1"/>
  <c r="N33" i="16"/>
  <c r="L36" i="16"/>
  <c r="Q161" i="25" l="1"/>
  <c r="R160" i="25"/>
  <c r="T160" i="25" s="1"/>
  <c r="T161" i="26"/>
  <c r="R162" i="26"/>
  <c r="T162" i="26" s="1"/>
  <c r="Q163" i="26"/>
  <c r="AF282" i="26"/>
  <c r="AH282" i="26" s="1"/>
  <c r="AE283" i="26"/>
  <c r="X247" i="26"/>
  <c r="Y246" i="26"/>
  <c r="K138" i="26"/>
  <c r="M138" i="26" s="1"/>
  <c r="J139" i="26"/>
  <c r="D137" i="26"/>
  <c r="F137" i="26" s="1"/>
  <c r="C138" i="26"/>
  <c r="M138" i="25"/>
  <c r="X247" i="25"/>
  <c r="Y246" i="25"/>
  <c r="AA246" i="25" s="1"/>
  <c r="J140" i="25"/>
  <c r="K139" i="25"/>
  <c r="M139" i="25" s="1"/>
  <c r="D138" i="25"/>
  <c r="F138" i="25" s="1"/>
  <c r="C139" i="25"/>
  <c r="AF282" i="25"/>
  <c r="AH282" i="25" s="1"/>
  <c r="AE283" i="25"/>
  <c r="AF282" i="24"/>
  <c r="AH282" i="24" s="1"/>
  <c r="AE283" i="24"/>
  <c r="D138" i="24"/>
  <c r="F138" i="24" s="1"/>
  <c r="C139" i="24"/>
  <c r="K138" i="24"/>
  <c r="M138" i="24" s="1"/>
  <c r="J139" i="24"/>
  <c r="X247" i="24"/>
  <c r="Y246" i="24"/>
  <c r="R150" i="24"/>
  <c r="T150" i="24" s="1"/>
  <c r="Q151" i="24"/>
  <c r="T149" i="23"/>
  <c r="F136" i="23"/>
  <c r="Y246" i="23"/>
  <c r="AA246" i="23" s="1"/>
  <c r="X247" i="23"/>
  <c r="D137" i="23"/>
  <c r="F137" i="23" s="1"/>
  <c r="C138" i="23"/>
  <c r="R150" i="23"/>
  <c r="T150" i="23" s="1"/>
  <c r="Q151" i="23"/>
  <c r="K138" i="23"/>
  <c r="M138" i="23" s="1"/>
  <c r="J139" i="23"/>
  <c r="AE283" i="23"/>
  <c r="AF282" i="23"/>
  <c r="AH282" i="23" s="1"/>
  <c r="T93" i="16"/>
  <c r="V92" i="16"/>
  <c r="U94" i="16"/>
  <c r="K36" i="16"/>
  <c r="M35" i="16"/>
  <c r="N35" i="16" s="1"/>
  <c r="L37" i="16"/>
  <c r="R161" i="25" l="1"/>
  <c r="T161" i="25" s="1"/>
  <c r="Q162" i="25"/>
  <c r="AF283" i="26"/>
  <c r="AH283" i="26" s="1"/>
  <c r="AE284" i="26"/>
  <c r="X248" i="26"/>
  <c r="Y247" i="26"/>
  <c r="AA247" i="26" s="1"/>
  <c r="K139" i="26"/>
  <c r="M139" i="26" s="1"/>
  <c r="J140" i="26"/>
  <c r="D138" i="26"/>
  <c r="F138" i="26" s="1"/>
  <c r="C139" i="26"/>
  <c r="AA246" i="26"/>
  <c r="R163" i="26"/>
  <c r="T163" i="26" s="1"/>
  <c r="Q164" i="26"/>
  <c r="K140" i="25"/>
  <c r="M140" i="25" s="1"/>
  <c r="J141" i="25"/>
  <c r="X248" i="25"/>
  <c r="Y247" i="25"/>
  <c r="AA247" i="25" s="1"/>
  <c r="AF283" i="25"/>
  <c r="AH283" i="25" s="1"/>
  <c r="AE284" i="25"/>
  <c r="C140" i="25"/>
  <c r="D139" i="25"/>
  <c r="F139" i="25" s="1"/>
  <c r="AE284" i="24"/>
  <c r="AF283" i="24"/>
  <c r="AH283" i="24" s="1"/>
  <c r="X248" i="24"/>
  <c r="Y247" i="24"/>
  <c r="AA247" i="24" s="1"/>
  <c r="R151" i="24"/>
  <c r="T151" i="24" s="1"/>
  <c r="Q152" i="24"/>
  <c r="K139" i="24"/>
  <c r="M139" i="24" s="1"/>
  <c r="J140" i="24"/>
  <c r="AA246" i="24"/>
  <c r="D139" i="24"/>
  <c r="F139" i="24" s="1"/>
  <c r="C140" i="24"/>
  <c r="R151" i="23"/>
  <c r="T151" i="23" s="1"/>
  <c r="Q152" i="23"/>
  <c r="AF283" i="23"/>
  <c r="AH283" i="23" s="1"/>
  <c r="AE284" i="23"/>
  <c r="Y247" i="23"/>
  <c r="AA247" i="23" s="1"/>
  <c r="X248" i="23"/>
  <c r="K139" i="23"/>
  <c r="M139" i="23" s="1"/>
  <c r="J140" i="23"/>
  <c r="D138" i="23"/>
  <c r="F138" i="23" s="1"/>
  <c r="C139" i="23"/>
  <c r="W92" i="16"/>
  <c r="T94" i="16"/>
  <c r="V93" i="16"/>
  <c r="W93" i="16" s="1"/>
  <c r="U95" i="16"/>
  <c r="L38" i="16"/>
  <c r="K37" i="16"/>
  <c r="M36" i="16"/>
  <c r="N36" i="16" s="1"/>
  <c r="R162" i="25" l="1"/>
  <c r="T162" i="25" s="1"/>
  <c r="Q163" i="25"/>
  <c r="K140" i="26"/>
  <c r="M140" i="26" s="1"/>
  <c r="J141" i="26"/>
  <c r="AE285" i="26"/>
  <c r="AF284" i="26"/>
  <c r="AH284" i="26" s="1"/>
  <c r="X249" i="26"/>
  <c r="Y248" i="26"/>
  <c r="AA248" i="26" s="1"/>
  <c r="Q165" i="26"/>
  <c r="R164" i="26"/>
  <c r="T164" i="26" s="1"/>
  <c r="D139" i="26"/>
  <c r="F139" i="26" s="1"/>
  <c r="C140" i="26"/>
  <c r="D140" i="25"/>
  <c r="F140" i="25" s="1"/>
  <c r="C141" i="25"/>
  <c r="X249" i="25"/>
  <c r="Y248" i="25"/>
  <c r="AA248" i="25" s="1"/>
  <c r="K141" i="25"/>
  <c r="J142" i="25"/>
  <c r="AE285" i="25"/>
  <c r="AF284" i="25"/>
  <c r="AH284" i="25" s="1"/>
  <c r="AF284" i="24"/>
  <c r="AH284" i="24" s="1"/>
  <c r="AE285" i="24"/>
  <c r="R152" i="24"/>
  <c r="T152" i="24" s="1"/>
  <c r="Q153" i="24"/>
  <c r="X249" i="24"/>
  <c r="Y248" i="24"/>
  <c r="AA248" i="24" s="1"/>
  <c r="D140" i="24"/>
  <c r="F140" i="24" s="1"/>
  <c r="C141" i="24"/>
  <c r="J141" i="24"/>
  <c r="K140" i="24"/>
  <c r="M140" i="24" s="1"/>
  <c r="D139" i="23"/>
  <c r="F139" i="23" s="1"/>
  <c r="C140" i="23"/>
  <c r="Y248" i="23"/>
  <c r="AA248" i="23" s="1"/>
  <c r="X249" i="23"/>
  <c r="R152" i="23"/>
  <c r="T152" i="23" s="1"/>
  <c r="Q153" i="23"/>
  <c r="J141" i="23"/>
  <c r="K140" i="23"/>
  <c r="M140" i="23" s="1"/>
  <c r="AE285" i="23"/>
  <c r="AF284" i="23"/>
  <c r="AH284" i="23" s="1"/>
  <c r="T95" i="16"/>
  <c r="V94" i="16"/>
  <c r="U96" i="16"/>
  <c r="L39" i="16"/>
  <c r="K38" i="16"/>
  <c r="M37" i="16"/>
  <c r="N37" i="16" s="1"/>
  <c r="Q164" i="25" l="1"/>
  <c r="R163" i="25"/>
  <c r="T163" i="25" s="1"/>
  <c r="X250" i="26"/>
  <c r="Y249" i="26"/>
  <c r="J142" i="26"/>
  <c r="K141" i="26"/>
  <c r="Q166" i="26"/>
  <c r="R165" i="26"/>
  <c r="AF285" i="26"/>
  <c r="AE286" i="26"/>
  <c r="D140" i="26"/>
  <c r="F140" i="26" s="1"/>
  <c r="C141" i="26"/>
  <c r="X250" i="25"/>
  <c r="Y249" i="25"/>
  <c r="AF285" i="25"/>
  <c r="AE286" i="25"/>
  <c r="M141" i="25"/>
  <c r="N141" i="25"/>
  <c r="N347" i="25" s="1"/>
  <c r="J143" i="25"/>
  <c r="K142" i="25"/>
  <c r="C142" i="25"/>
  <c r="D141" i="25"/>
  <c r="X250" i="24"/>
  <c r="Y249" i="24"/>
  <c r="K141" i="24"/>
  <c r="J142" i="24"/>
  <c r="AF285" i="24"/>
  <c r="AE286" i="24"/>
  <c r="D141" i="24"/>
  <c r="C142" i="24"/>
  <c r="R153" i="24"/>
  <c r="Q154" i="24"/>
  <c r="AE286" i="23"/>
  <c r="AF285" i="23"/>
  <c r="K141" i="23"/>
  <c r="J142" i="23"/>
  <c r="R153" i="23"/>
  <c r="Q154" i="23"/>
  <c r="D140" i="23"/>
  <c r="F140" i="23" s="1"/>
  <c r="C141" i="23"/>
  <c r="Y249" i="23"/>
  <c r="X250" i="23"/>
  <c r="W94" i="16"/>
  <c r="T96" i="16"/>
  <c r="V95" i="16"/>
  <c r="W95" i="16" s="1"/>
  <c r="U97" i="16"/>
  <c r="K39" i="16"/>
  <c r="M38" i="16"/>
  <c r="N38" i="16" s="1"/>
  <c r="L40" i="16"/>
  <c r="Q165" i="25" l="1"/>
  <c r="R164" i="25"/>
  <c r="T164" i="25" s="1"/>
  <c r="R166" i="26"/>
  <c r="Q167" i="26"/>
  <c r="X251" i="26"/>
  <c r="Y250" i="26"/>
  <c r="D141" i="26"/>
  <c r="C142" i="26"/>
  <c r="AA249" i="26"/>
  <c r="AB249" i="26"/>
  <c r="AK249" i="26" s="1"/>
  <c r="W346" i="26" s="1"/>
  <c r="AH285" i="26"/>
  <c r="AI285" i="26"/>
  <c r="AK285" i="26" s="1"/>
  <c r="Z346" i="26" s="1"/>
  <c r="K142" i="26"/>
  <c r="J143" i="26"/>
  <c r="T165" i="26"/>
  <c r="U165" i="26"/>
  <c r="AF286" i="26"/>
  <c r="AE287" i="26"/>
  <c r="M141" i="26"/>
  <c r="N141" i="26"/>
  <c r="N347" i="26" s="1"/>
  <c r="K143" i="25"/>
  <c r="M143" i="25" s="1"/>
  <c r="J144" i="25"/>
  <c r="AH285" i="25"/>
  <c r="AI285" i="25"/>
  <c r="AK285" i="25" s="1"/>
  <c r="Z346" i="25" s="1"/>
  <c r="X251" i="25"/>
  <c r="Y250" i="25"/>
  <c r="AF286" i="25"/>
  <c r="AE287" i="25"/>
  <c r="M142" i="25"/>
  <c r="AA249" i="25"/>
  <c r="AB249" i="25"/>
  <c r="AK249" i="25" s="1"/>
  <c r="W346" i="25" s="1"/>
  <c r="C143" i="25"/>
  <c r="D142" i="25"/>
  <c r="F141" i="25"/>
  <c r="G141" i="25"/>
  <c r="AH285" i="24"/>
  <c r="AI285" i="24"/>
  <c r="AK285" i="24" s="1"/>
  <c r="Z346" i="24" s="1"/>
  <c r="X251" i="24"/>
  <c r="Y250" i="24"/>
  <c r="R154" i="24"/>
  <c r="Q155" i="24"/>
  <c r="AE287" i="24"/>
  <c r="AF286" i="24"/>
  <c r="F141" i="24"/>
  <c r="G141" i="24"/>
  <c r="M141" i="24"/>
  <c r="N141" i="24"/>
  <c r="N347" i="24" s="1"/>
  <c r="T153" i="24"/>
  <c r="U153" i="24"/>
  <c r="AA249" i="24"/>
  <c r="AB249" i="24"/>
  <c r="AK249" i="24" s="1"/>
  <c r="W346" i="24" s="1"/>
  <c r="C143" i="24"/>
  <c r="D142" i="24"/>
  <c r="J143" i="24"/>
  <c r="K142" i="24"/>
  <c r="AE287" i="23"/>
  <c r="AF286" i="23"/>
  <c r="T153" i="23"/>
  <c r="U153" i="23"/>
  <c r="R154" i="23"/>
  <c r="Q155" i="23"/>
  <c r="M141" i="23"/>
  <c r="N141" i="23"/>
  <c r="N347" i="23" s="1"/>
  <c r="AA249" i="23"/>
  <c r="AB249" i="23"/>
  <c r="AK249" i="23" s="1"/>
  <c r="W346" i="23" s="1"/>
  <c r="Y250" i="23"/>
  <c r="X251" i="23"/>
  <c r="AH285" i="23"/>
  <c r="AI285" i="23"/>
  <c r="AK285" i="23" s="1"/>
  <c r="Z346" i="23" s="1"/>
  <c r="D141" i="23"/>
  <c r="C142" i="23"/>
  <c r="J143" i="23"/>
  <c r="K142" i="23"/>
  <c r="T97" i="16"/>
  <c r="V96" i="16"/>
  <c r="U98" i="16"/>
  <c r="M39" i="16"/>
  <c r="K40" i="16"/>
  <c r="L41" i="16"/>
  <c r="Q166" i="25" l="1"/>
  <c r="R165" i="25"/>
  <c r="F141" i="26"/>
  <c r="G141" i="26"/>
  <c r="T166" i="26"/>
  <c r="D142" i="26"/>
  <c r="C143" i="26"/>
  <c r="Q168" i="26"/>
  <c r="R167" i="26"/>
  <c r="T167" i="26" s="1"/>
  <c r="AH286" i="26"/>
  <c r="M142" i="26"/>
  <c r="X252" i="26"/>
  <c r="Y251" i="26"/>
  <c r="AA251" i="26" s="1"/>
  <c r="AF287" i="26"/>
  <c r="AH287" i="26" s="1"/>
  <c r="AE288" i="26"/>
  <c r="K143" i="26"/>
  <c r="M143" i="26" s="1"/>
  <c r="J144" i="26"/>
  <c r="AA250" i="26"/>
  <c r="X252" i="25"/>
  <c r="Y251" i="25"/>
  <c r="AA251" i="25" s="1"/>
  <c r="N346" i="25"/>
  <c r="AK141" i="25"/>
  <c r="AA250" i="25"/>
  <c r="J145" i="25"/>
  <c r="K144" i="25"/>
  <c r="D143" i="25"/>
  <c r="F143" i="25" s="1"/>
  <c r="C144" i="25"/>
  <c r="AH286" i="25"/>
  <c r="F142" i="25"/>
  <c r="AF287" i="25"/>
  <c r="AH287" i="25" s="1"/>
  <c r="AE288" i="25"/>
  <c r="D143" i="24"/>
  <c r="F143" i="24" s="1"/>
  <c r="C144" i="24"/>
  <c r="T154" i="24"/>
  <c r="F142" i="24"/>
  <c r="N346" i="24"/>
  <c r="AK141" i="24"/>
  <c r="R155" i="24"/>
  <c r="T155" i="24" s="1"/>
  <c r="Q156" i="24"/>
  <c r="K143" i="24"/>
  <c r="M143" i="24" s="1"/>
  <c r="J144" i="24"/>
  <c r="AE288" i="24"/>
  <c r="AF287" i="24"/>
  <c r="AH287" i="24" s="1"/>
  <c r="X252" i="24"/>
  <c r="Y251" i="24"/>
  <c r="AA251" i="24" s="1"/>
  <c r="M142" i="24"/>
  <c r="AH286" i="24"/>
  <c r="AA250" i="24"/>
  <c r="K143" i="23"/>
  <c r="M143" i="23" s="1"/>
  <c r="J144" i="23"/>
  <c r="T154" i="23"/>
  <c r="AE288" i="23"/>
  <c r="AF287" i="23"/>
  <c r="AH287" i="23" s="1"/>
  <c r="R155" i="23"/>
  <c r="T155" i="23" s="1"/>
  <c r="Q156" i="23"/>
  <c r="F141" i="23"/>
  <c r="G141" i="23"/>
  <c r="AA250" i="23"/>
  <c r="M142" i="23"/>
  <c r="AH286" i="23"/>
  <c r="C143" i="23"/>
  <c r="D142" i="23"/>
  <c r="Y251" i="23"/>
  <c r="AA251" i="23" s="1"/>
  <c r="X252" i="23"/>
  <c r="W96" i="16"/>
  <c r="T98" i="16"/>
  <c r="V97" i="16"/>
  <c r="W97" i="16" s="1"/>
  <c r="U99" i="16"/>
  <c r="O39" i="16"/>
  <c r="N39" i="16"/>
  <c r="M40" i="16"/>
  <c r="K41" i="16"/>
  <c r="L42" i="16"/>
  <c r="T165" i="25" l="1"/>
  <c r="U165" i="25"/>
  <c r="R166" i="25"/>
  <c r="T166" i="25" s="1"/>
  <c r="Q167" i="25"/>
  <c r="X253" i="26"/>
  <c r="Y252" i="26"/>
  <c r="AA252" i="26" s="1"/>
  <c r="F142" i="26"/>
  <c r="K144" i="26"/>
  <c r="M144" i="26" s="1"/>
  <c r="J145" i="26"/>
  <c r="D143" i="26"/>
  <c r="F143" i="26" s="1"/>
  <c r="C144" i="26"/>
  <c r="N346" i="26"/>
  <c r="AK141" i="26"/>
  <c r="R168" i="26"/>
  <c r="Q169" i="26"/>
  <c r="AF288" i="26"/>
  <c r="AE289" i="26"/>
  <c r="X253" i="25"/>
  <c r="Y252" i="25"/>
  <c r="K145" i="25"/>
  <c r="M145" i="25" s="1"/>
  <c r="J146" i="25"/>
  <c r="C145" i="25"/>
  <c r="D144" i="25"/>
  <c r="F144" i="25" s="1"/>
  <c r="AF288" i="25"/>
  <c r="AE289" i="25"/>
  <c r="M144" i="25"/>
  <c r="AE289" i="24"/>
  <c r="AF288" i="24"/>
  <c r="AH288" i="24" s="1"/>
  <c r="D144" i="24"/>
  <c r="C145" i="24"/>
  <c r="X253" i="24"/>
  <c r="Y252" i="24"/>
  <c r="R156" i="24"/>
  <c r="T156" i="24" s="1"/>
  <c r="Q157" i="24"/>
  <c r="K144" i="24"/>
  <c r="J145" i="24"/>
  <c r="D143" i="23"/>
  <c r="F143" i="23" s="1"/>
  <c r="C144" i="23"/>
  <c r="AE289" i="23"/>
  <c r="AF288" i="23"/>
  <c r="AH288" i="23" s="1"/>
  <c r="F142" i="23"/>
  <c r="N346" i="23"/>
  <c r="AK141" i="23"/>
  <c r="K144" i="23"/>
  <c r="J145" i="23"/>
  <c r="Y252" i="23"/>
  <c r="AA252" i="23" s="1"/>
  <c r="X253" i="23"/>
  <c r="R156" i="23"/>
  <c r="T156" i="23" s="1"/>
  <c r="Q157" i="23"/>
  <c r="T99" i="16"/>
  <c r="V98" i="16"/>
  <c r="W98" i="16" s="1"/>
  <c r="U100" i="16"/>
  <c r="N40" i="16"/>
  <c r="M41" i="16"/>
  <c r="N41" i="16" s="1"/>
  <c r="K42" i="16"/>
  <c r="L43" i="16"/>
  <c r="Q168" i="25" l="1"/>
  <c r="R167" i="25"/>
  <c r="T167" i="25" s="1"/>
  <c r="X254" i="26"/>
  <c r="Y253" i="26"/>
  <c r="AA253" i="26" s="1"/>
  <c r="K145" i="26"/>
  <c r="J146" i="26"/>
  <c r="AF289" i="26"/>
  <c r="AH289" i="26" s="1"/>
  <c r="AE290" i="26"/>
  <c r="T168" i="26"/>
  <c r="AH288" i="26"/>
  <c r="Q170" i="26"/>
  <c r="R169" i="26"/>
  <c r="T169" i="26" s="1"/>
  <c r="D144" i="26"/>
  <c r="F144" i="26" s="1"/>
  <c r="C145" i="26"/>
  <c r="D145" i="25"/>
  <c r="F145" i="25" s="1"/>
  <c r="C146" i="25"/>
  <c r="J147" i="25"/>
  <c r="K146" i="25"/>
  <c r="AH288" i="25"/>
  <c r="X254" i="25"/>
  <c r="Y253" i="25"/>
  <c r="AA253" i="25" s="1"/>
  <c r="AF289" i="25"/>
  <c r="AH289" i="25" s="1"/>
  <c r="AE290" i="25"/>
  <c r="AA252" i="25"/>
  <c r="M144" i="24"/>
  <c r="X254" i="24"/>
  <c r="Y253" i="24"/>
  <c r="AA253" i="24" s="1"/>
  <c r="AE290" i="24"/>
  <c r="AF289" i="24"/>
  <c r="AH289" i="24" s="1"/>
  <c r="K145" i="24"/>
  <c r="M145" i="24" s="1"/>
  <c r="J146" i="24"/>
  <c r="F144" i="24"/>
  <c r="AA252" i="24"/>
  <c r="R157" i="24"/>
  <c r="T157" i="24" s="1"/>
  <c r="Q158" i="24"/>
  <c r="D145" i="24"/>
  <c r="F145" i="24" s="1"/>
  <c r="C146" i="24"/>
  <c r="M144" i="23"/>
  <c r="AE290" i="23"/>
  <c r="AF289" i="23"/>
  <c r="Y253" i="23"/>
  <c r="X254" i="23"/>
  <c r="D144" i="23"/>
  <c r="C145" i="23"/>
  <c r="R157" i="23"/>
  <c r="T157" i="23" s="1"/>
  <c r="Q158" i="23"/>
  <c r="K145" i="23"/>
  <c r="M145" i="23" s="1"/>
  <c r="J146" i="23"/>
  <c r="T100" i="16"/>
  <c r="V99" i="16"/>
  <c r="U101" i="16"/>
  <c r="L44" i="16"/>
  <c r="M42" i="16"/>
  <c r="N42" i="16" s="1"/>
  <c r="K43" i="16"/>
  <c r="R168" i="25" l="1"/>
  <c r="T168" i="25" s="1"/>
  <c r="Q169" i="25"/>
  <c r="X255" i="26"/>
  <c r="Y254" i="26"/>
  <c r="AF290" i="26"/>
  <c r="AE291" i="26"/>
  <c r="R170" i="26"/>
  <c r="T170" i="26" s="1"/>
  <c r="Q171" i="26"/>
  <c r="M145" i="26"/>
  <c r="D145" i="26"/>
  <c r="F145" i="26" s="1"/>
  <c r="C146" i="26"/>
  <c r="K146" i="26"/>
  <c r="M146" i="26" s="1"/>
  <c r="J147" i="26"/>
  <c r="AF290" i="25"/>
  <c r="AH290" i="25" s="1"/>
  <c r="AE291" i="25"/>
  <c r="X255" i="25"/>
  <c r="Y254" i="25"/>
  <c r="AA254" i="25" s="1"/>
  <c r="C147" i="25"/>
  <c r="D146" i="25"/>
  <c r="F146" i="25" s="1"/>
  <c r="K147" i="25"/>
  <c r="M147" i="25" s="1"/>
  <c r="J148" i="25"/>
  <c r="M146" i="25"/>
  <c r="D146" i="24"/>
  <c r="C147" i="24"/>
  <c r="AE291" i="24"/>
  <c r="AF290" i="24"/>
  <c r="AH290" i="24" s="1"/>
  <c r="X255" i="24"/>
  <c r="Y254" i="24"/>
  <c r="R158" i="24"/>
  <c r="Q159" i="24"/>
  <c r="K146" i="24"/>
  <c r="J147" i="24"/>
  <c r="K146" i="23"/>
  <c r="J147" i="23"/>
  <c r="AA253" i="23"/>
  <c r="Y254" i="23"/>
  <c r="AA254" i="23" s="1"/>
  <c r="X255" i="23"/>
  <c r="D145" i="23"/>
  <c r="F145" i="23" s="1"/>
  <c r="C146" i="23"/>
  <c r="R158" i="23"/>
  <c r="Q159" i="23"/>
  <c r="AE291" i="23"/>
  <c r="AF290" i="23"/>
  <c r="AH290" i="23" s="1"/>
  <c r="F144" i="23"/>
  <c r="AH289" i="23"/>
  <c r="W99" i="16"/>
  <c r="X99" i="16"/>
  <c r="S152" i="16" s="1"/>
  <c r="T101" i="16"/>
  <c r="V100" i="16"/>
  <c r="U102" i="16"/>
  <c r="M43" i="16"/>
  <c r="N43" i="16" s="1"/>
  <c r="K44" i="16"/>
  <c r="L45" i="16"/>
  <c r="Q170" i="25" l="1"/>
  <c r="R169" i="25"/>
  <c r="T169" i="25" s="1"/>
  <c r="X256" i="26"/>
  <c r="Y255" i="26"/>
  <c r="AA255" i="26" s="1"/>
  <c r="AA254" i="26"/>
  <c r="Q172" i="26"/>
  <c r="R171" i="26"/>
  <c r="AH290" i="26"/>
  <c r="D146" i="26"/>
  <c r="C147" i="26"/>
  <c r="K147" i="26"/>
  <c r="M147" i="26" s="1"/>
  <c r="J148" i="26"/>
  <c r="AF291" i="26"/>
  <c r="AH291" i="26" s="1"/>
  <c r="AE292" i="26"/>
  <c r="AF291" i="25"/>
  <c r="AH291" i="25" s="1"/>
  <c r="AE292" i="25"/>
  <c r="D147" i="25"/>
  <c r="C148" i="25"/>
  <c r="X256" i="25"/>
  <c r="Y255" i="25"/>
  <c r="J149" i="25"/>
  <c r="K148" i="25"/>
  <c r="R159" i="24"/>
  <c r="T159" i="24" s="1"/>
  <c r="Q160" i="24"/>
  <c r="X256" i="24"/>
  <c r="Y255" i="24"/>
  <c r="AA255" i="24" s="1"/>
  <c r="F146" i="24"/>
  <c r="AA254" i="24"/>
  <c r="K147" i="24"/>
  <c r="M147" i="24" s="1"/>
  <c r="J148" i="24"/>
  <c r="AE292" i="24"/>
  <c r="AF291" i="24"/>
  <c r="M146" i="24"/>
  <c r="D147" i="24"/>
  <c r="F147" i="24" s="1"/>
  <c r="C148" i="24"/>
  <c r="T158" i="24"/>
  <c r="M146" i="23"/>
  <c r="Y255" i="23"/>
  <c r="AA255" i="23" s="1"/>
  <c r="X256" i="23"/>
  <c r="T158" i="23"/>
  <c r="R159" i="23"/>
  <c r="T159" i="23" s="1"/>
  <c r="Q160" i="23"/>
  <c r="K147" i="23"/>
  <c r="M147" i="23" s="1"/>
  <c r="J148" i="23"/>
  <c r="AE292" i="23"/>
  <c r="AF291" i="23"/>
  <c r="D146" i="23"/>
  <c r="C147" i="23"/>
  <c r="W100" i="16"/>
  <c r="T102" i="16"/>
  <c r="V101" i="16"/>
  <c r="W101" i="16" s="1"/>
  <c r="U103" i="16"/>
  <c r="L46" i="16"/>
  <c r="M44" i="16"/>
  <c r="K45" i="16"/>
  <c r="R170" i="25" l="1"/>
  <c r="T170" i="25" s="1"/>
  <c r="Q171" i="25"/>
  <c r="F146" i="26"/>
  <c r="R172" i="26"/>
  <c r="T172" i="26" s="1"/>
  <c r="Q173" i="26"/>
  <c r="X257" i="26"/>
  <c r="Y256" i="26"/>
  <c r="AA256" i="26" s="1"/>
  <c r="AF292" i="26"/>
  <c r="AH292" i="26" s="1"/>
  <c r="AE293" i="26"/>
  <c r="D147" i="26"/>
  <c r="F147" i="26" s="1"/>
  <c r="C148" i="26"/>
  <c r="T171" i="26"/>
  <c r="K148" i="26"/>
  <c r="J149" i="26"/>
  <c r="F147" i="25"/>
  <c r="C149" i="25"/>
  <c r="D148" i="25"/>
  <c r="F148" i="25" s="1"/>
  <c r="M148" i="25"/>
  <c r="X257" i="25"/>
  <c r="Y256" i="25"/>
  <c r="AA256" i="25" s="1"/>
  <c r="K149" i="25"/>
  <c r="M149" i="25" s="1"/>
  <c r="J150" i="25"/>
  <c r="AA255" i="25"/>
  <c r="AF292" i="25"/>
  <c r="AE293" i="25"/>
  <c r="AE293" i="24"/>
  <c r="AF292" i="24"/>
  <c r="AH292" i="24" s="1"/>
  <c r="X257" i="24"/>
  <c r="Y256" i="24"/>
  <c r="K148" i="24"/>
  <c r="J149" i="24"/>
  <c r="R160" i="24"/>
  <c r="Q161" i="24"/>
  <c r="D148" i="24"/>
  <c r="C149" i="24"/>
  <c r="AH291" i="24"/>
  <c r="F146" i="23"/>
  <c r="D147" i="23"/>
  <c r="F147" i="23" s="1"/>
  <c r="C148" i="23"/>
  <c r="K148" i="23"/>
  <c r="M148" i="23" s="1"/>
  <c r="J149" i="23"/>
  <c r="AE293" i="23"/>
  <c r="AF292" i="23"/>
  <c r="AH292" i="23" s="1"/>
  <c r="AH291" i="23"/>
  <c r="R160" i="23"/>
  <c r="Q161" i="23"/>
  <c r="Y256" i="23"/>
  <c r="X257" i="23"/>
  <c r="T103" i="16"/>
  <c r="V102" i="16"/>
  <c r="U104" i="16"/>
  <c r="L47" i="16"/>
  <c r="M45" i="16"/>
  <c r="N45" i="16" s="1"/>
  <c r="K46" i="16"/>
  <c r="N44" i="16"/>
  <c r="Q172" i="25" l="1"/>
  <c r="R171" i="25"/>
  <c r="T171" i="25" s="1"/>
  <c r="M148" i="26"/>
  <c r="X258" i="26"/>
  <c r="Y257" i="26"/>
  <c r="AA257" i="26" s="1"/>
  <c r="K149" i="26"/>
  <c r="M149" i="26" s="1"/>
  <c r="J150" i="26"/>
  <c r="D148" i="26"/>
  <c r="C149" i="26"/>
  <c r="AF293" i="26"/>
  <c r="AE294" i="26"/>
  <c r="Q174" i="26"/>
  <c r="R173" i="26"/>
  <c r="X258" i="25"/>
  <c r="Y257" i="25"/>
  <c r="D149" i="25"/>
  <c r="F149" i="25" s="1"/>
  <c r="C150" i="25"/>
  <c r="AH292" i="25"/>
  <c r="AF293" i="25"/>
  <c r="AH293" i="25" s="1"/>
  <c r="AE294" i="25"/>
  <c r="J151" i="25"/>
  <c r="K150" i="25"/>
  <c r="M150" i="25" s="1"/>
  <c r="M148" i="24"/>
  <c r="AE294" i="24"/>
  <c r="AF293" i="24"/>
  <c r="AH293" i="24" s="1"/>
  <c r="D149" i="24"/>
  <c r="F149" i="24" s="1"/>
  <c r="C150" i="24"/>
  <c r="F148" i="24"/>
  <c r="K149" i="24"/>
  <c r="M149" i="24" s="1"/>
  <c r="J150" i="24"/>
  <c r="T160" i="24"/>
  <c r="X258" i="24"/>
  <c r="Y257" i="24"/>
  <c r="AA257" i="24" s="1"/>
  <c r="R161" i="24"/>
  <c r="T161" i="24" s="1"/>
  <c r="Q162" i="24"/>
  <c r="AA256" i="24"/>
  <c r="AA256" i="23"/>
  <c r="K149" i="23"/>
  <c r="M149" i="23" s="1"/>
  <c r="J150" i="23"/>
  <c r="Y257" i="23"/>
  <c r="AA257" i="23" s="1"/>
  <c r="X258" i="23"/>
  <c r="T160" i="23"/>
  <c r="AE294" i="23"/>
  <c r="AF293" i="23"/>
  <c r="R161" i="23"/>
  <c r="T161" i="23" s="1"/>
  <c r="Q162" i="23"/>
  <c r="D148" i="23"/>
  <c r="C149" i="23"/>
  <c r="W102" i="16"/>
  <c r="T104" i="16"/>
  <c r="V103" i="16"/>
  <c r="W103" i="16" s="1"/>
  <c r="U105" i="16"/>
  <c r="M46" i="16"/>
  <c r="K47" i="16"/>
  <c r="L48" i="16"/>
  <c r="Q173" i="25" l="1"/>
  <c r="R172" i="25"/>
  <c r="T172" i="25" s="1"/>
  <c r="AF294" i="26"/>
  <c r="AH294" i="26" s="1"/>
  <c r="AE295" i="26"/>
  <c r="AH293" i="26"/>
  <c r="K150" i="26"/>
  <c r="M150" i="26" s="1"/>
  <c r="J151" i="26"/>
  <c r="R174" i="26"/>
  <c r="T174" i="26" s="1"/>
  <c r="Q175" i="26"/>
  <c r="F148" i="26"/>
  <c r="X259" i="26"/>
  <c r="Y258" i="26"/>
  <c r="AA258" i="26" s="1"/>
  <c r="T173" i="26"/>
  <c r="D149" i="26"/>
  <c r="F149" i="26" s="1"/>
  <c r="C150" i="26"/>
  <c r="K151" i="25"/>
  <c r="M151" i="25" s="1"/>
  <c r="J152" i="25"/>
  <c r="X259" i="25"/>
  <c r="Y258" i="25"/>
  <c r="AA258" i="25" s="1"/>
  <c r="AA257" i="25"/>
  <c r="AF294" i="25"/>
  <c r="AH294" i="25" s="1"/>
  <c r="AE295" i="25"/>
  <c r="C151" i="25"/>
  <c r="D150" i="25"/>
  <c r="F150" i="25" s="1"/>
  <c r="X259" i="24"/>
  <c r="Y258" i="24"/>
  <c r="K150" i="24"/>
  <c r="M150" i="24" s="1"/>
  <c r="J151" i="24"/>
  <c r="AE295" i="24"/>
  <c r="AF294" i="24"/>
  <c r="AH294" i="24" s="1"/>
  <c r="D150" i="24"/>
  <c r="F150" i="24" s="1"/>
  <c r="C151" i="24"/>
  <c r="R162" i="24"/>
  <c r="T162" i="24" s="1"/>
  <c r="Q163" i="24"/>
  <c r="F148" i="23"/>
  <c r="AE295" i="23"/>
  <c r="AF294" i="23"/>
  <c r="AH294" i="23" s="1"/>
  <c r="AH293" i="23"/>
  <c r="D149" i="23"/>
  <c r="F149" i="23" s="1"/>
  <c r="C150" i="23"/>
  <c r="Y258" i="23"/>
  <c r="AA258" i="23" s="1"/>
  <c r="X259" i="23"/>
  <c r="R162" i="23"/>
  <c r="T162" i="23" s="1"/>
  <c r="Q163" i="23"/>
  <c r="K150" i="23"/>
  <c r="M150" i="23" s="1"/>
  <c r="J151" i="23"/>
  <c r="T105" i="16"/>
  <c r="V104" i="16"/>
  <c r="U106" i="16"/>
  <c r="L49" i="16"/>
  <c r="N46" i="16"/>
  <c r="M47" i="16"/>
  <c r="N47" i="16" s="1"/>
  <c r="K48" i="16"/>
  <c r="Q174" i="25" l="1"/>
  <c r="R173" i="25"/>
  <c r="T173" i="25" s="1"/>
  <c r="K151" i="26"/>
  <c r="M151" i="26" s="1"/>
  <c r="J152" i="26"/>
  <c r="AF295" i="26"/>
  <c r="AH295" i="26" s="1"/>
  <c r="AE296" i="26"/>
  <c r="X260" i="26"/>
  <c r="Y259" i="26"/>
  <c r="AA259" i="26" s="1"/>
  <c r="D150" i="26"/>
  <c r="F150" i="26" s="1"/>
  <c r="C151" i="26"/>
  <c r="Q176" i="26"/>
  <c r="R175" i="26"/>
  <c r="T175" i="26" s="1"/>
  <c r="AF295" i="25"/>
  <c r="AH295" i="25" s="1"/>
  <c r="AE296" i="25"/>
  <c r="J153" i="25"/>
  <c r="K152" i="25"/>
  <c r="M152" i="25" s="1"/>
  <c r="D151" i="25"/>
  <c r="F151" i="25" s="1"/>
  <c r="C152" i="25"/>
  <c r="X260" i="25"/>
  <c r="Y259" i="25"/>
  <c r="AA259" i="25" s="1"/>
  <c r="D151" i="24"/>
  <c r="F151" i="24" s="1"/>
  <c r="C152" i="24"/>
  <c r="K151" i="24"/>
  <c r="M151" i="24" s="1"/>
  <c r="J152" i="24"/>
  <c r="X260" i="24"/>
  <c r="Y259" i="24"/>
  <c r="AA259" i="24" s="1"/>
  <c r="AA258" i="24"/>
  <c r="AE296" i="24"/>
  <c r="AF295" i="24"/>
  <c r="AH295" i="24" s="1"/>
  <c r="R163" i="24"/>
  <c r="T163" i="24" s="1"/>
  <c r="Q164" i="24"/>
  <c r="K151" i="23"/>
  <c r="M151" i="23" s="1"/>
  <c r="J152" i="23"/>
  <c r="Y259" i="23"/>
  <c r="AA259" i="23" s="1"/>
  <c r="X260" i="23"/>
  <c r="AE296" i="23"/>
  <c r="AF295" i="23"/>
  <c r="AH295" i="23" s="1"/>
  <c r="R163" i="23"/>
  <c r="T163" i="23" s="1"/>
  <c r="Q164" i="23"/>
  <c r="D150" i="23"/>
  <c r="C151" i="23"/>
  <c r="W104" i="16"/>
  <c r="T106" i="16"/>
  <c r="V105" i="16"/>
  <c r="W105" i="16" s="1"/>
  <c r="U107" i="16"/>
  <c r="L50" i="16"/>
  <c r="M48" i="16"/>
  <c r="N48" i="16" s="1"/>
  <c r="K49" i="16"/>
  <c r="Q175" i="25" l="1"/>
  <c r="R174" i="25"/>
  <c r="T174" i="25" s="1"/>
  <c r="X261" i="26"/>
  <c r="Y260" i="26"/>
  <c r="AA260" i="26" s="1"/>
  <c r="J153" i="26"/>
  <c r="K152" i="26"/>
  <c r="M152" i="26" s="1"/>
  <c r="R176" i="26"/>
  <c r="T176" i="26" s="1"/>
  <c r="Q177" i="26"/>
  <c r="D151" i="26"/>
  <c r="F151" i="26" s="1"/>
  <c r="C152" i="26"/>
  <c r="AF296" i="26"/>
  <c r="AH296" i="26" s="1"/>
  <c r="AE297" i="26"/>
  <c r="X261" i="25"/>
  <c r="Y260" i="25"/>
  <c r="AA260" i="25" s="1"/>
  <c r="K153" i="25"/>
  <c r="J154" i="25"/>
  <c r="C153" i="25"/>
  <c r="D152" i="25"/>
  <c r="F152" i="25" s="1"/>
  <c r="AF296" i="25"/>
  <c r="AH296" i="25" s="1"/>
  <c r="AE297" i="25"/>
  <c r="AE297" i="24"/>
  <c r="AF296" i="24"/>
  <c r="AH296" i="24" s="1"/>
  <c r="X261" i="24"/>
  <c r="Y260" i="24"/>
  <c r="AA260" i="24" s="1"/>
  <c r="D152" i="24"/>
  <c r="F152" i="24" s="1"/>
  <c r="C153" i="24"/>
  <c r="Q165" i="24"/>
  <c r="R164" i="24"/>
  <c r="T164" i="24" s="1"/>
  <c r="K152" i="24"/>
  <c r="M152" i="24" s="1"/>
  <c r="J153" i="24"/>
  <c r="F150" i="23"/>
  <c r="AE297" i="23"/>
  <c r="AF296" i="23"/>
  <c r="AH296" i="23" s="1"/>
  <c r="K152" i="23"/>
  <c r="M152" i="23" s="1"/>
  <c r="J153" i="23"/>
  <c r="D151" i="23"/>
  <c r="F151" i="23" s="1"/>
  <c r="C152" i="23"/>
  <c r="Q165" i="23"/>
  <c r="R164" i="23"/>
  <c r="T164" i="23" s="1"/>
  <c r="Y260" i="23"/>
  <c r="AA260" i="23" s="1"/>
  <c r="X261" i="23"/>
  <c r="T107" i="16"/>
  <c r="V106" i="16"/>
  <c r="U108" i="16"/>
  <c r="M49" i="16"/>
  <c r="N49" i="16" s="1"/>
  <c r="K50" i="16"/>
  <c r="L51" i="16"/>
  <c r="Q176" i="25" l="1"/>
  <c r="R175" i="25"/>
  <c r="T175" i="25" s="1"/>
  <c r="X262" i="26"/>
  <c r="Y261" i="26"/>
  <c r="Q178" i="26"/>
  <c r="R177" i="26"/>
  <c r="AF297" i="26"/>
  <c r="AE298" i="26"/>
  <c r="K153" i="26"/>
  <c r="J154" i="26"/>
  <c r="D152" i="26"/>
  <c r="F152" i="26" s="1"/>
  <c r="C153" i="26"/>
  <c r="X262" i="25"/>
  <c r="Y261" i="25"/>
  <c r="AF297" i="25"/>
  <c r="AE298" i="25"/>
  <c r="D153" i="25"/>
  <c r="C154" i="25"/>
  <c r="M153" i="25"/>
  <c r="N153" i="25"/>
  <c r="O347" i="25" s="1"/>
  <c r="K154" i="25"/>
  <c r="J155" i="25"/>
  <c r="AE298" i="24"/>
  <c r="AF297" i="24"/>
  <c r="J154" i="24"/>
  <c r="K153" i="24"/>
  <c r="Q166" i="24"/>
  <c r="R165" i="24"/>
  <c r="X262" i="24"/>
  <c r="Y261" i="24"/>
  <c r="D153" i="24"/>
  <c r="C154" i="24"/>
  <c r="Q166" i="23"/>
  <c r="R165" i="23"/>
  <c r="AF297" i="23"/>
  <c r="AE298" i="23"/>
  <c r="J154" i="23"/>
  <c r="K153" i="23"/>
  <c r="Y261" i="23"/>
  <c r="X262" i="23"/>
  <c r="D152" i="23"/>
  <c r="F152" i="23" s="1"/>
  <c r="C153" i="23"/>
  <c r="W106" i="16"/>
  <c r="T108" i="16"/>
  <c r="V107" i="16"/>
  <c r="W107" i="16" s="1"/>
  <c r="U109" i="16"/>
  <c r="L52" i="16"/>
  <c r="K51" i="16"/>
  <c r="M50" i="16"/>
  <c r="N50" i="16" s="1"/>
  <c r="R176" i="25" l="1"/>
  <c r="T176" i="25" s="1"/>
  <c r="Q177" i="25"/>
  <c r="AH297" i="26"/>
  <c r="AI297" i="26"/>
  <c r="AK297" i="26" s="1"/>
  <c r="AA346" i="26" s="1"/>
  <c r="X263" i="26"/>
  <c r="Y262" i="26"/>
  <c r="AE299" i="26"/>
  <c r="AF298" i="26"/>
  <c r="AA261" i="26"/>
  <c r="AB261" i="26"/>
  <c r="AK261" i="26" s="1"/>
  <c r="X346" i="26" s="1"/>
  <c r="M153" i="26"/>
  <c r="N153" i="26"/>
  <c r="O347" i="26" s="1"/>
  <c r="Q179" i="26"/>
  <c r="R178" i="26"/>
  <c r="D153" i="26"/>
  <c r="C154" i="26"/>
  <c r="J155" i="26"/>
  <c r="K154" i="26"/>
  <c r="T177" i="26"/>
  <c r="U177" i="26"/>
  <c r="AA261" i="25"/>
  <c r="AB261" i="25"/>
  <c r="AK261" i="25" s="1"/>
  <c r="X346" i="25" s="1"/>
  <c r="X263" i="25"/>
  <c r="Y262" i="25"/>
  <c r="AH297" i="25"/>
  <c r="AI297" i="25"/>
  <c r="AK297" i="25" s="1"/>
  <c r="AA346" i="25" s="1"/>
  <c r="M154" i="25"/>
  <c r="F153" i="25"/>
  <c r="G153" i="25"/>
  <c r="J156" i="25"/>
  <c r="K155" i="25"/>
  <c r="M155" i="25" s="1"/>
  <c r="C155" i="25"/>
  <c r="D154" i="25"/>
  <c r="AE299" i="25"/>
  <c r="AF298" i="25"/>
  <c r="F153" i="24"/>
  <c r="G153" i="24"/>
  <c r="R166" i="24"/>
  <c r="Q167" i="24"/>
  <c r="AE299" i="24"/>
  <c r="AF298" i="24"/>
  <c r="D154" i="24"/>
  <c r="C155" i="24"/>
  <c r="AH297" i="24"/>
  <c r="AI297" i="24"/>
  <c r="AK297" i="24" s="1"/>
  <c r="AA346" i="24" s="1"/>
  <c r="X263" i="24"/>
  <c r="Y262" i="24"/>
  <c r="K154" i="24"/>
  <c r="J155" i="24"/>
  <c r="T165" i="24"/>
  <c r="U165" i="24"/>
  <c r="AA261" i="24"/>
  <c r="AB261" i="24"/>
  <c r="AK261" i="24" s="1"/>
  <c r="X346" i="24" s="1"/>
  <c r="M153" i="24"/>
  <c r="N153" i="24"/>
  <c r="O347" i="24" s="1"/>
  <c r="K154" i="23"/>
  <c r="J155" i="23"/>
  <c r="M153" i="23"/>
  <c r="N153" i="23"/>
  <c r="O347" i="23" s="1"/>
  <c r="AH297" i="23"/>
  <c r="AI297" i="23"/>
  <c r="AK297" i="23" s="1"/>
  <c r="AA346" i="23" s="1"/>
  <c r="Q167" i="23"/>
  <c r="R166" i="23"/>
  <c r="D153" i="23"/>
  <c r="C154" i="23"/>
  <c r="T165" i="23"/>
  <c r="U165" i="23"/>
  <c r="AA261" i="23"/>
  <c r="AB261" i="23"/>
  <c r="AK261" i="23" s="1"/>
  <c r="X346" i="23" s="1"/>
  <c r="Y262" i="23"/>
  <c r="X263" i="23"/>
  <c r="AF298" i="23"/>
  <c r="AE299" i="23"/>
  <c r="T109" i="16"/>
  <c r="V108" i="16"/>
  <c r="U110" i="16"/>
  <c r="K52" i="16"/>
  <c r="M51" i="16"/>
  <c r="L53" i="16"/>
  <c r="Q178" i="25" l="1"/>
  <c r="R177" i="25"/>
  <c r="F153" i="26"/>
  <c r="G153" i="26"/>
  <c r="AE300" i="26"/>
  <c r="AF299" i="26"/>
  <c r="AH299" i="26" s="1"/>
  <c r="AH298" i="26"/>
  <c r="C155" i="26"/>
  <c r="D154" i="26"/>
  <c r="K155" i="26"/>
  <c r="M155" i="26" s="1"/>
  <c r="J156" i="26"/>
  <c r="R179" i="26"/>
  <c r="T179" i="26" s="1"/>
  <c r="Q180" i="26"/>
  <c r="X264" i="26"/>
  <c r="Y263" i="26"/>
  <c r="AA263" i="26" s="1"/>
  <c r="Q347" i="26"/>
  <c r="AK177" i="26"/>
  <c r="M154" i="26"/>
  <c r="T178" i="26"/>
  <c r="AA262" i="26"/>
  <c r="C156" i="25"/>
  <c r="D155" i="25"/>
  <c r="F155" i="25" s="1"/>
  <c r="X264" i="25"/>
  <c r="Y263" i="25"/>
  <c r="AA263" i="25" s="1"/>
  <c r="F154" i="25"/>
  <c r="AA262" i="25"/>
  <c r="O346" i="25"/>
  <c r="AK153" i="25"/>
  <c r="AE300" i="25"/>
  <c r="AF299" i="25"/>
  <c r="AH299" i="25" s="1"/>
  <c r="K156" i="25"/>
  <c r="M156" i="25" s="1"/>
  <c r="J157" i="25"/>
  <c r="AH298" i="25"/>
  <c r="M154" i="24"/>
  <c r="AE300" i="24"/>
  <c r="AF299" i="24"/>
  <c r="AH299" i="24" s="1"/>
  <c r="K155" i="24"/>
  <c r="M155" i="24" s="1"/>
  <c r="J156" i="24"/>
  <c r="O346" i="24"/>
  <c r="AK153" i="24"/>
  <c r="AH298" i="24"/>
  <c r="X264" i="24"/>
  <c r="Y263" i="24"/>
  <c r="AA263" i="24" s="1"/>
  <c r="F154" i="24"/>
  <c r="T166" i="24"/>
  <c r="AA262" i="24"/>
  <c r="D155" i="24"/>
  <c r="F155" i="24" s="1"/>
  <c r="C156" i="24"/>
  <c r="R167" i="24"/>
  <c r="T167" i="24" s="1"/>
  <c r="Q168" i="24"/>
  <c r="F153" i="23"/>
  <c r="G153" i="23"/>
  <c r="M154" i="23"/>
  <c r="K155" i="23"/>
  <c r="M155" i="23" s="1"/>
  <c r="J156" i="23"/>
  <c r="AH298" i="23"/>
  <c r="AF299" i="23"/>
  <c r="AH299" i="23" s="1"/>
  <c r="AE300" i="23"/>
  <c r="D154" i="23"/>
  <c r="C155" i="23"/>
  <c r="AA262" i="23"/>
  <c r="R167" i="23"/>
  <c r="T167" i="23" s="1"/>
  <c r="Q168" i="23"/>
  <c r="Y263" i="23"/>
  <c r="AA263" i="23" s="1"/>
  <c r="X264" i="23"/>
  <c r="T166" i="23"/>
  <c r="W108" i="16"/>
  <c r="T110" i="16"/>
  <c r="V109" i="16"/>
  <c r="W109" i="16" s="1"/>
  <c r="U111" i="16"/>
  <c r="K53" i="16"/>
  <c r="M52" i="16"/>
  <c r="O51" i="16"/>
  <c r="N51" i="16"/>
  <c r="L54" i="16"/>
  <c r="T177" i="25" l="1"/>
  <c r="U177" i="25"/>
  <c r="Q179" i="25"/>
  <c r="R178" i="25"/>
  <c r="T178" i="25" s="1"/>
  <c r="X265" i="26"/>
  <c r="Y264" i="26"/>
  <c r="K156" i="26"/>
  <c r="J157" i="26"/>
  <c r="O346" i="26"/>
  <c r="AK153" i="26"/>
  <c r="D155" i="26"/>
  <c r="F155" i="26" s="1"/>
  <c r="C156" i="26"/>
  <c r="AE301" i="26"/>
  <c r="AF300" i="26"/>
  <c r="Q181" i="26"/>
  <c r="R180" i="26"/>
  <c r="F154" i="26"/>
  <c r="D156" i="25"/>
  <c r="F156" i="25" s="1"/>
  <c r="C157" i="25"/>
  <c r="X265" i="25"/>
  <c r="Y264" i="25"/>
  <c r="AE301" i="25"/>
  <c r="AF300" i="25"/>
  <c r="J158" i="25"/>
  <c r="K157" i="25"/>
  <c r="R168" i="24"/>
  <c r="T168" i="24" s="1"/>
  <c r="Q169" i="24"/>
  <c r="X265" i="24"/>
  <c r="Y264" i="24"/>
  <c r="AE301" i="24"/>
  <c r="AF300" i="24"/>
  <c r="K156" i="24"/>
  <c r="M156" i="24" s="1"/>
  <c r="J157" i="24"/>
  <c r="D156" i="24"/>
  <c r="C157" i="24"/>
  <c r="K156" i="23"/>
  <c r="M156" i="23" s="1"/>
  <c r="J157" i="23"/>
  <c r="O346" i="23"/>
  <c r="AK153" i="23"/>
  <c r="Y264" i="23"/>
  <c r="AA264" i="23" s="1"/>
  <c r="X265" i="23"/>
  <c r="F154" i="23"/>
  <c r="AF300" i="23"/>
  <c r="AH300" i="23" s="1"/>
  <c r="AE301" i="23"/>
  <c r="R168" i="23"/>
  <c r="T168" i="23" s="1"/>
  <c r="Q169" i="23"/>
  <c r="D155" i="23"/>
  <c r="F155" i="23" s="1"/>
  <c r="C156" i="23"/>
  <c r="T111" i="16"/>
  <c r="V110" i="16"/>
  <c r="W110" i="16" s="1"/>
  <c r="U112" i="16"/>
  <c r="K54" i="16"/>
  <c r="M53" i="16"/>
  <c r="N53" i="16" s="1"/>
  <c r="L55" i="16"/>
  <c r="N52" i="16"/>
  <c r="R179" i="25" l="1"/>
  <c r="T179" i="25" s="1"/>
  <c r="Q180" i="25"/>
  <c r="AK177" i="25"/>
  <c r="Q347" i="25"/>
  <c r="AE302" i="26"/>
  <c r="AF301" i="26"/>
  <c r="AH301" i="26" s="1"/>
  <c r="X266" i="26"/>
  <c r="Y265" i="26"/>
  <c r="AA265" i="26" s="1"/>
  <c r="AH300" i="26"/>
  <c r="AA264" i="26"/>
  <c r="Q182" i="26"/>
  <c r="R181" i="26"/>
  <c r="T181" i="26" s="1"/>
  <c r="M156" i="26"/>
  <c r="T180" i="26"/>
  <c r="D156" i="26"/>
  <c r="C157" i="26"/>
  <c r="K157" i="26"/>
  <c r="M157" i="26" s="1"/>
  <c r="J158" i="26"/>
  <c r="K158" i="25"/>
  <c r="M158" i="25" s="1"/>
  <c r="J159" i="25"/>
  <c r="X266" i="25"/>
  <c r="Y265" i="25"/>
  <c r="AA265" i="25" s="1"/>
  <c r="M157" i="25"/>
  <c r="AA264" i="25"/>
  <c r="C158" i="25"/>
  <c r="D157" i="25"/>
  <c r="F157" i="25" s="1"/>
  <c r="AE302" i="25"/>
  <c r="AF301" i="25"/>
  <c r="AH301" i="25" s="1"/>
  <c r="AH300" i="25"/>
  <c r="AA264" i="24"/>
  <c r="K157" i="24"/>
  <c r="J158" i="24"/>
  <c r="AE302" i="24"/>
  <c r="AF301" i="24"/>
  <c r="AH301" i="24" s="1"/>
  <c r="D157" i="24"/>
  <c r="F157" i="24" s="1"/>
  <c r="C158" i="24"/>
  <c r="R169" i="24"/>
  <c r="T169" i="24" s="1"/>
  <c r="Q170" i="24"/>
  <c r="F156" i="24"/>
  <c r="AH300" i="24"/>
  <c r="X266" i="24"/>
  <c r="Y265" i="24"/>
  <c r="AA265" i="24" s="1"/>
  <c r="K157" i="23"/>
  <c r="J158" i="23"/>
  <c r="Q170" i="23"/>
  <c r="R169" i="23"/>
  <c r="Y265" i="23"/>
  <c r="X266" i="23"/>
  <c r="D156" i="23"/>
  <c r="F156" i="23" s="1"/>
  <c r="C157" i="23"/>
  <c r="AF301" i="23"/>
  <c r="AE302" i="23"/>
  <c r="T112" i="16"/>
  <c r="V111" i="16"/>
  <c r="U113" i="16"/>
  <c r="K55" i="16"/>
  <c r="M54" i="16"/>
  <c r="L56" i="16"/>
  <c r="R180" i="25" l="1"/>
  <c r="T180" i="25" s="1"/>
  <c r="Q181" i="25"/>
  <c r="Q183" i="26"/>
  <c r="R182" i="26"/>
  <c r="AE303" i="26"/>
  <c r="AF302" i="26"/>
  <c r="K158" i="26"/>
  <c r="M158" i="26" s="1"/>
  <c r="J159" i="26"/>
  <c r="F156" i="26"/>
  <c r="X267" i="26"/>
  <c r="Y266" i="26"/>
  <c r="D157" i="26"/>
  <c r="F157" i="26" s="1"/>
  <c r="C158" i="26"/>
  <c r="AE303" i="25"/>
  <c r="AF302" i="25"/>
  <c r="J160" i="25"/>
  <c r="K159" i="25"/>
  <c r="X267" i="25"/>
  <c r="Y266" i="25"/>
  <c r="D158" i="25"/>
  <c r="F158" i="25" s="1"/>
  <c r="C159" i="25"/>
  <c r="AE303" i="24"/>
  <c r="AF302" i="24"/>
  <c r="R170" i="24"/>
  <c r="Q171" i="24"/>
  <c r="M157" i="24"/>
  <c r="X267" i="24"/>
  <c r="Y266" i="24"/>
  <c r="D158" i="24"/>
  <c r="F158" i="24" s="1"/>
  <c r="C159" i="24"/>
  <c r="K158" i="24"/>
  <c r="M158" i="24" s="1"/>
  <c r="J159" i="24"/>
  <c r="AH301" i="23"/>
  <c r="AA265" i="23"/>
  <c r="M157" i="23"/>
  <c r="AF302" i="23"/>
  <c r="AH302" i="23" s="1"/>
  <c r="AE303" i="23"/>
  <c r="Y266" i="23"/>
  <c r="AA266" i="23" s="1"/>
  <c r="X267" i="23"/>
  <c r="K158" i="23"/>
  <c r="M158" i="23" s="1"/>
  <c r="J159" i="23"/>
  <c r="R170" i="23"/>
  <c r="T170" i="23" s="1"/>
  <c r="Q171" i="23"/>
  <c r="D157" i="23"/>
  <c r="C158" i="23"/>
  <c r="T169" i="23"/>
  <c r="W111" i="16"/>
  <c r="X111" i="16"/>
  <c r="T152" i="16" s="1"/>
  <c r="T113" i="16"/>
  <c r="V112" i="16"/>
  <c r="U114" i="16"/>
  <c r="L57" i="16"/>
  <c r="K56" i="16"/>
  <c r="M55" i="16"/>
  <c r="N55" i="16" s="1"/>
  <c r="N54" i="16"/>
  <c r="Q182" i="25" l="1"/>
  <c r="R181" i="25"/>
  <c r="T181" i="25" s="1"/>
  <c r="X268" i="26"/>
  <c r="Y267" i="26"/>
  <c r="AA267" i="26" s="1"/>
  <c r="Q184" i="26"/>
  <c r="R183" i="26"/>
  <c r="T183" i="26" s="1"/>
  <c r="AA266" i="26"/>
  <c r="T182" i="26"/>
  <c r="AE304" i="26"/>
  <c r="AF303" i="26"/>
  <c r="AH303" i="26" s="1"/>
  <c r="K159" i="26"/>
  <c r="J160" i="26"/>
  <c r="D158" i="26"/>
  <c r="F158" i="26" s="1"/>
  <c r="C159" i="26"/>
  <c r="AH302" i="26"/>
  <c r="C160" i="25"/>
  <c r="D159" i="25"/>
  <c r="F159" i="25" s="1"/>
  <c r="X268" i="25"/>
  <c r="Y267" i="25"/>
  <c r="AA267" i="25" s="1"/>
  <c r="AE304" i="25"/>
  <c r="AF303" i="25"/>
  <c r="AH303" i="25" s="1"/>
  <c r="K160" i="25"/>
  <c r="M160" i="25" s="1"/>
  <c r="J161" i="25"/>
  <c r="M159" i="25"/>
  <c r="AA266" i="25"/>
  <c r="AH302" i="25"/>
  <c r="AE304" i="24"/>
  <c r="AF303" i="24"/>
  <c r="AH303" i="24" s="1"/>
  <c r="T170" i="24"/>
  <c r="D159" i="24"/>
  <c r="C160" i="24"/>
  <c r="AH302" i="24"/>
  <c r="X268" i="24"/>
  <c r="Y267" i="24"/>
  <c r="AA267" i="24" s="1"/>
  <c r="K159" i="24"/>
  <c r="J160" i="24"/>
  <c r="AA266" i="24"/>
  <c r="R171" i="24"/>
  <c r="T171" i="24" s="1"/>
  <c r="Q172" i="24"/>
  <c r="Y267" i="23"/>
  <c r="AA267" i="23" s="1"/>
  <c r="X268" i="23"/>
  <c r="Q172" i="23"/>
  <c r="R171" i="23"/>
  <c r="F157" i="23"/>
  <c r="D158" i="23"/>
  <c r="F158" i="23" s="1"/>
  <c r="C159" i="23"/>
  <c r="K159" i="23"/>
  <c r="J160" i="23"/>
  <c r="AF303" i="23"/>
  <c r="AE304" i="23"/>
  <c r="W112" i="16"/>
  <c r="T114" i="16"/>
  <c r="V113" i="16"/>
  <c r="W113" i="16" s="1"/>
  <c r="U115" i="16"/>
  <c r="K57" i="16"/>
  <c r="M56" i="16"/>
  <c r="N56" i="16" s="1"/>
  <c r="L58" i="16"/>
  <c r="Q183" i="25" l="1"/>
  <c r="R182" i="25"/>
  <c r="T182" i="25" s="1"/>
  <c r="AE305" i="26"/>
  <c r="AF304" i="26"/>
  <c r="AH304" i="26" s="1"/>
  <c r="X269" i="26"/>
  <c r="Y268" i="26"/>
  <c r="D159" i="26"/>
  <c r="C160" i="26"/>
  <c r="M159" i="26"/>
  <c r="Q185" i="26"/>
  <c r="R184" i="26"/>
  <c r="K160" i="26"/>
  <c r="M160" i="26" s="1"/>
  <c r="J161" i="26"/>
  <c r="J162" i="25"/>
  <c r="K161" i="25"/>
  <c r="AE305" i="25"/>
  <c r="AF304" i="25"/>
  <c r="D160" i="25"/>
  <c r="F160" i="25" s="1"/>
  <c r="C161" i="25"/>
  <c r="X269" i="25"/>
  <c r="Y268" i="25"/>
  <c r="X269" i="24"/>
  <c r="Y268" i="24"/>
  <c r="F159" i="24"/>
  <c r="AE305" i="24"/>
  <c r="AF304" i="24"/>
  <c r="AH304" i="24" s="1"/>
  <c r="D160" i="24"/>
  <c r="F160" i="24" s="1"/>
  <c r="C161" i="24"/>
  <c r="M159" i="24"/>
  <c r="R172" i="24"/>
  <c r="T172" i="24" s="1"/>
  <c r="Q173" i="24"/>
  <c r="K160" i="24"/>
  <c r="M160" i="24" s="1"/>
  <c r="J161" i="24"/>
  <c r="M159" i="23"/>
  <c r="K160" i="23"/>
  <c r="M160" i="23" s="1"/>
  <c r="J161" i="23"/>
  <c r="Y268" i="23"/>
  <c r="X269" i="23"/>
  <c r="AH303" i="23"/>
  <c r="R172" i="23"/>
  <c r="T172" i="23" s="1"/>
  <c r="Q173" i="23"/>
  <c r="AF304" i="23"/>
  <c r="AH304" i="23" s="1"/>
  <c r="AE305" i="23"/>
  <c r="D159" i="23"/>
  <c r="C160" i="23"/>
  <c r="T171" i="23"/>
  <c r="T115" i="16"/>
  <c r="V114" i="16"/>
  <c r="U116" i="16"/>
  <c r="L59" i="16"/>
  <c r="K58" i="16"/>
  <c r="M57" i="16"/>
  <c r="Q184" i="25" l="1"/>
  <c r="R183" i="25"/>
  <c r="T183" i="25" s="1"/>
  <c r="Q186" i="26"/>
  <c r="R185" i="26"/>
  <c r="T185" i="26" s="1"/>
  <c r="F159" i="26"/>
  <c r="AE306" i="26"/>
  <c r="AF305" i="26"/>
  <c r="T184" i="26"/>
  <c r="D160" i="26"/>
  <c r="F160" i="26" s="1"/>
  <c r="C161" i="26"/>
  <c r="X270" i="26"/>
  <c r="Y269" i="26"/>
  <c r="AA269" i="26" s="1"/>
  <c r="K161" i="26"/>
  <c r="M161" i="26" s="1"/>
  <c r="J162" i="26"/>
  <c r="AA268" i="26"/>
  <c r="X270" i="25"/>
  <c r="Y269" i="25"/>
  <c r="AA269" i="25" s="1"/>
  <c r="K162" i="25"/>
  <c r="M162" i="25" s="1"/>
  <c r="J163" i="25"/>
  <c r="AA268" i="25"/>
  <c r="AE306" i="25"/>
  <c r="AF305" i="25"/>
  <c r="AH305" i="25" s="1"/>
  <c r="M161" i="25"/>
  <c r="C162" i="25"/>
  <c r="D161" i="25"/>
  <c r="F161" i="25" s="1"/>
  <c r="AH304" i="25"/>
  <c r="AE306" i="24"/>
  <c r="AF305" i="24"/>
  <c r="AH305" i="24" s="1"/>
  <c r="X270" i="24"/>
  <c r="Y269" i="24"/>
  <c r="AA269" i="24" s="1"/>
  <c r="K161" i="24"/>
  <c r="J162" i="24"/>
  <c r="AA268" i="24"/>
  <c r="R173" i="24"/>
  <c r="T173" i="24" s="1"/>
  <c r="Q174" i="24"/>
  <c r="D161" i="24"/>
  <c r="F161" i="24" s="1"/>
  <c r="C162" i="24"/>
  <c r="AA268" i="23"/>
  <c r="F159" i="23"/>
  <c r="D160" i="23"/>
  <c r="F160" i="23" s="1"/>
  <c r="C161" i="23"/>
  <c r="Y269" i="23"/>
  <c r="AA269" i="23" s="1"/>
  <c r="X270" i="23"/>
  <c r="Q174" i="23"/>
  <c r="R173" i="23"/>
  <c r="T173" i="23" s="1"/>
  <c r="AF305" i="23"/>
  <c r="AH305" i="23" s="1"/>
  <c r="AE306" i="23"/>
  <c r="K161" i="23"/>
  <c r="J162" i="23"/>
  <c r="W114" i="16"/>
  <c r="T116" i="16"/>
  <c r="V115" i="16"/>
  <c r="W115" i="16" s="1"/>
  <c r="U117" i="16"/>
  <c r="K59" i="16"/>
  <c r="M58" i="16"/>
  <c r="N58" i="16" s="1"/>
  <c r="N57" i="16"/>
  <c r="L60" i="16"/>
  <c r="Q185" i="25" l="1"/>
  <c r="R184" i="25"/>
  <c r="T184" i="25" s="1"/>
  <c r="AE307" i="26"/>
  <c r="AF306" i="26"/>
  <c r="AH306" i="26" s="1"/>
  <c r="Q187" i="26"/>
  <c r="R186" i="26"/>
  <c r="T186" i="26" s="1"/>
  <c r="K162" i="26"/>
  <c r="M162" i="26" s="1"/>
  <c r="J163" i="26"/>
  <c r="D161" i="26"/>
  <c r="F161" i="26" s="1"/>
  <c r="C162" i="26"/>
  <c r="AH305" i="26"/>
  <c r="X271" i="26"/>
  <c r="Y270" i="26"/>
  <c r="D162" i="25"/>
  <c r="F162" i="25" s="1"/>
  <c r="C163" i="25"/>
  <c r="AE307" i="25"/>
  <c r="AF306" i="25"/>
  <c r="AH306" i="25" s="1"/>
  <c r="X271" i="25"/>
  <c r="Y270" i="25"/>
  <c r="AA270" i="25" s="1"/>
  <c r="J164" i="25"/>
  <c r="K163" i="25"/>
  <c r="M163" i="25" s="1"/>
  <c r="M161" i="24"/>
  <c r="AE307" i="24"/>
  <c r="AF306" i="24"/>
  <c r="AH306" i="24" s="1"/>
  <c r="K162" i="24"/>
  <c r="M162" i="24" s="1"/>
  <c r="J163" i="24"/>
  <c r="Q175" i="24"/>
  <c r="R174" i="24"/>
  <c r="T174" i="24" s="1"/>
  <c r="X271" i="24"/>
  <c r="Y270" i="24"/>
  <c r="D162" i="24"/>
  <c r="F162" i="24" s="1"/>
  <c r="C163" i="24"/>
  <c r="M161" i="23"/>
  <c r="Q175" i="23"/>
  <c r="R174" i="23"/>
  <c r="T174" i="23" s="1"/>
  <c r="K162" i="23"/>
  <c r="M162" i="23" s="1"/>
  <c r="J163" i="23"/>
  <c r="D161" i="23"/>
  <c r="F161" i="23" s="1"/>
  <c r="C162" i="23"/>
  <c r="AF306" i="23"/>
  <c r="AH306" i="23" s="1"/>
  <c r="AE307" i="23"/>
  <c r="Y270" i="23"/>
  <c r="AA270" i="23" s="1"/>
  <c r="X271" i="23"/>
  <c r="T117" i="16"/>
  <c r="V116" i="16"/>
  <c r="U118" i="16"/>
  <c r="L61" i="16"/>
  <c r="K60" i="16"/>
  <c r="M59" i="16"/>
  <c r="Q186" i="25" l="1"/>
  <c r="R185" i="25"/>
  <c r="T185" i="25" s="1"/>
  <c r="AE308" i="26"/>
  <c r="AF307" i="26"/>
  <c r="AH307" i="26" s="1"/>
  <c r="K163" i="26"/>
  <c r="M163" i="26" s="1"/>
  <c r="J164" i="26"/>
  <c r="X272" i="26"/>
  <c r="Y271" i="26"/>
  <c r="AA271" i="26" s="1"/>
  <c r="Q188" i="26"/>
  <c r="R187" i="26"/>
  <c r="T187" i="26" s="1"/>
  <c r="AA270" i="26"/>
  <c r="D162" i="26"/>
  <c r="F162" i="26" s="1"/>
  <c r="C163" i="26"/>
  <c r="X272" i="25"/>
  <c r="Y271" i="25"/>
  <c r="AA271" i="25" s="1"/>
  <c r="C164" i="25"/>
  <c r="D163" i="25"/>
  <c r="F163" i="25" s="1"/>
  <c r="K164" i="25"/>
  <c r="M164" i="25" s="1"/>
  <c r="J165" i="25"/>
  <c r="K165" i="25" s="1"/>
  <c r="AE308" i="25"/>
  <c r="AF307" i="25"/>
  <c r="AH307" i="25" s="1"/>
  <c r="X272" i="24"/>
  <c r="Y271" i="24"/>
  <c r="AA271" i="24" s="1"/>
  <c r="AA270" i="24"/>
  <c r="K163" i="24"/>
  <c r="M163" i="24" s="1"/>
  <c r="J164" i="24"/>
  <c r="Q176" i="24"/>
  <c r="R175" i="24"/>
  <c r="T175" i="24" s="1"/>
  <c r="AE308" i="24"/>
  <c r="AF307" i="24"/>
  <c r="AH307" i="24" s="1"/>
  <c r="D163" i="24"/>
  <c r="F163" i="24" s="1"/>
  <c r="C164" i="24"/>
  <c r="D164" i="24" s="1"/>
  <c r="AF307" i="23"/>
  <c r="AH307" i="23" s="1"/>
  <c r="AE308" i="23"/>
  <c r="K163" i="23"/>
  <c r="M163" i="23" s="1"/>
  <c r="J164" i="23"/>
  <c r="Q176" i="23"/>
  <c r="R175" i="23"/>
  <c r="T175" i="23" s="1"/>
  <c r="Y271" i="23"/>
  <c r="AA271" i="23" s="1"/>
  <c r="X272" i="23"/>
  <c r="D162" i="23"/>
  <c r="F162" i="23" s="1"/>
  <c r="C163" i="23"/>
  <c r="W116" i="16"/>
  <c r="T118" i="16"/>
  <c r="V117" i="16"/>
  <c r="W117" i="16" s="1"/>
  <c r="U119" i="16"/>
  <c r="K61" i="16"/>
  <c r="M60" i="16"/>
  <c r="N60" i="16" s="1"/>
  <c r="N59" i="16"/>
  <c r="L62" i="16"/>
  <c r="Q187" i="25" l="1"/>
  <c r="R186" i="25"/>
  <c r="T186" i="25" s="1"/>
  <c r="X273" i="26"/>
  <c r="Y273" i="26" s="1"/>
  <c r="Y272" i="26"/>
  <c r="AA272" i="26" s="1"/>
  <c r="AE309" i="26"/>
  <c r="AF309" i="26" s="1"/>
  <c r="AF308" i="26"/>
  <c r="AH308" i="26" s="1"/>
  <c r="Q189" i="26"/>
  <c r="R189" i="26" s="1"/>
  <c r="R188" i="26"/>
  <c r="T188" i="26" s="1"/>
  <c r="D163" i="26"/>
  <c r="F163" i="26" s="1"/>
  <c r="C164" i="26"/>
  <c r="D164" i="26" s="1"/>
  <c r="K164" i="26"/>
  <c r="M164" i="26" s="1"/>
  <c r="J165" i="26"/>
  <c r="K165" i="26" s="1"/>
  <c r="AE309" i="25"/>
  <c r="AF309" i="25" s="1"/>
  <c r="AF308" i="25"/>
  <c r="AH308" i="25" s="1"/>
  <c r="D164" i="25"/>
  <c r="F164" i="25" s="1"/>
  <c r="C165" i="25"/>
  <c r="D165" i="25" s="1"/>
  <c r="X273" i="25"/>
  <c r="Y273" i="25" s="1"/>
  <c r="Y272" i="25"/>
  <c r="AA272" i="25" s="1"/>
  <c r="M165" i="25"/>
  <c r="M336" i="25" s="1"/>
  <c r="L337" i="25" s="1"/>
  <c r="K337" i="25" s="1"/>
  <c r="K336" i="25"/>
  <c r="N165" i="25"/>
  <c r="AE309" i="24"/>
  <c r="AF309" i="24" s="1"/>
  <c r="AF308" i="24"/>
  <c r="AH308" i="24" s="1"/>
  <c r="X273" i="24"/>
  <c r="Y273" i="24" s="1"/>
  <c r="Y272" i="24"/>
  <c r="AA272" i="24" s="1"/>
  <c r="J165" i="24"/>
  <c r="K165" i="24" s="1"/>
  <c r="K164" i="24"/>
  <c r="M164" i="24" s="1"/>
  <c r="R176" i="24"/>
  <c r="T176" i="24" s="1"/>
  <c r="Q177" i="24"/>
  <c r="R177" i="24" s="1"/>
  <c r="F164" i="24"/>
  <c r="F336" i="24" s="1"/>
  <c r="E337" i="24" s="1"/>
  <c r="D336" i="24"/>
  <c r="G165" i="24"/>
  <c r="R176" i="23"/>
  <c r="T176" i="23" s="1"/>
  <c r="Q177" i="23"/>
  <c r="R177" i="23" s="1"/>
  <c r="D163" i="23"/>
  <c r="F163" i="23" s="1"/>
  <c r="C164" i="23"/>
  <c r="AF308" i="23"/>
  <c r="AH308" i="23" s="1"/>
  <c r="AE309" i="23"/>
  <c r="AF309" i="23" s="1"/>
  <c r="Y272" i="23"/>
  <c r="AA272" i="23" s="1"/>
  <c r="X273" i="23"/>
  <c r="Y273" i="23" s="1"/>
  <c r="K164" i="23"/>
  <c r="M164" i="23" s="1"/>
  <c r="J165" i="23"/>
  <c r="K165" i="23" s="1"/>
  <c r="T119" i="16"/>
  <c r="V118" i="16"/>
  <c r="U120" i="16"/>
  <c r="L63" i="16"/>
  <c r="K62" i="16"/>
  <c r="M61" i="16"/>
  <c r="N61" i="16" s="1"/>
  <c r="Q188" i="25" l="1"/>
  <c r="R187" i="25"/>
  <c r="T187" i="25" s="1"/>
  <c r="T189" i="26"/>
  <c r="T336" i="26" s="1"/>
  <c r="S337" i="26" s="1"/>
  <c r="R337" i="26" s="1"/>
  <c r="R336" i="26"/>
  <c r="U189" i="26"/>
  <c r="AA273" i="26"/>
  <c r="AA336" i="26" s="1"/>
  <c r="Z337" i="26" s="1"/>
  <c r="Y337" i="26" s="1"/>
  <c r="Y336" i="26"/>
  <c r="AB273" i="26"/>
  <c r="M165" i="26"/>
  <c r="M336" i="26" s="1"/>
  <c r="L337" i="26" s="1"/>
  <c r="K337" i="26" s="1"/>
  <c r="K336" i="26"/>
  <c r="N165" i="26"/>
  <c r="AH309" i="26"/>
  <c r="AH336" i="26" s="1"/>
  <c r="AG337" i="26" s="1"/>
  <c r="AF337" i="26" s="1"/>
  <c r="AF336" i="26"/>
  <c r="AI309" i="26"/>
  <c r="F164" i="26"/>
  <c r="F336" i="26" s="1"/>
  <c r="E337" i="26" s="1"/>
  <c r="D336" i="26"/>
  <c r="G165" i="26"/>
  <c r="AH309" i="25"/>
  <c r="AH336" i="25" s="1"/>
  <c r="AG337" i="25" s="1"/>
  <c r="AF337" i="25" s="1"/>
  <c r="AF336" i="25"/>
  <c r="AI309" i="25"/>
  <c r="P347" i="25"/>
  <c r="N336" i="25"/>
  <c r="AA273" i="25"/>
  <c r="AA336" i="25" s="1"/>
  <c r="Z337" i="25" s="1"/>
  <c r="Y337" i="25" s="1"/>
  <c r="Y336" i="25"/>
  <c r="AB273" i="25"/>
  <c r="F165" i="25"/>
  <c r="F336" i="25" s="1"/>
  <c r="E337" i="25" s="1"/>
  <c r="D336" i="25"/>
  <c r="G165" i="25"/>
  <c r="M165" i="24"/>
  <c r="M336" i="24" s="1"/>
  <c r="L337" i="24" s="1"/>
  <c r="K337" i="24" s="1"/>
  <c r="K336" i="24"/>
  <c r="N165" i="24"/>
  <c r="AK165" i="24" s="1"/>
  <c r="AH309" i="24"/>
  <c r="AH336" i="24" s="1"/>
  <c r="AG337" i="24" s="1"/>
  <c r="AF337" i="24" s="1"/>
  <c r="AF336" i="24"/>
  <c r="AI309" i="24"/>
  <c r="D337" i="24"/>
  <c r="P346" i="24"/>
  <c r="AJ346" i="24" s="1"/>
  <c r="G336" i="24"/>
  <c r="AA273" i="24"/>
  <c r="AA336" i="24" s="1"/>
  <c r="Z337" i="24" s="1"/>
  <c r="Y337" i="24" s="1"/>
  <c r="Y336" i="24"/>
  <c r="AB273" i="24"/>
  <c r="T177" i="24"/>
  <c r="T336" i="24" s="1"/>
  <c r="S337" i="24" s="1"/>
  <c r="R337" i="24" s="1"/>
  <c r="R336" i="24"/>
  <c r="U177" i="24"/>
  <c r="M165" i="23"/>
  <c r="M336" i="23" s="1"/>
  <c r="L337" i="23" s="1"/>
  <c r="K337" i="23" s="1"/>
  <c r="K336" i="23"/>
  <c r="N165" i="23"/>
  <c r="T177" i="23"/>
  <c r="T336" i="23" s="1"/>
  <c r="S337" i="23" s="1"/>
  <c r="R337" i="23" s="1"/>
  <c r="R336" i="23"/>
  <c r="U177" i="23"/>
  <c r="AH309" i="23"/>
  <c r="AH336" i="23" s="1"/>
  <c r="AG337" i="23" s="1"/>
  <c r="AF337" i="23" s="1"/>
  <c r="AF336" i="23"/>
  <c r="AI309" i="23"/>
  <c r="AA273" i="23"/>
  <c r="AA336" i="23" s="1"/>
  <c r="Z337" i="23" s="1"/>
  <c r="Y337" i="23" s="1"/>
  <c r="Y336" i="23"/>
  <c r="AB273" i="23"/>
  <c r="D164" i="23"/>
  <c r="F164" i="23" s="1"/>
  <c r="C165" i="23"/>
  <c r="D165" i="23" s="1"/>
  <c r="W118" i="16"/>
  <c r="T120" i="16"/>
  <c r="V119" i="16"/>
  <c r="W119" i="16" s="1"/>
  <c r="U121" i="16"/>
  <c r="L64" i="16"/>
  <c r="K63" i="16"/>
  <c r="M62" i="16"/>
  <c r="N62" i="16" s="1"/>
  <c r="Q189" i="25" l="1"/>
  <c r="R189" i="25" s="1"/>
  <c r="T189" i="25" s="1"/>
  <c r="R188" i="25"/>
  <c r="D337" i="26"/>
  <c r="C341" i="26"/>
  <c r="C342" i="26" s="1"/>
  <c r="P347" i="26"/>
  <c r="N336" i="26"/>
  <c r="AK273" i="26"/>
  <c r="Y346" i="26" s="1"/>
  <c r="AB336" i="26"/>
  <c r="P346" i="26"/>
  <c r="AJ346" i="26" s="1"/>
  <c r="AK165" i="26"/>
  <c r="G336" i="26"/>
  <c r="R347" i="26"/>
  <c r="AJ347" i="26" s="1"/>
  <c r="AK189" i="26"/>
  <c r="U336" i="26"/>
  <c r="AK309" i="26"/>
  <c r="AI336" i="26"/>
  <c r="P346" i="25"/>
  <c r="AJ346" i="25" s="1"/>
  <c r="AK165" i="25"/>
  <c r="G336" i="25"/>
  <c r="D341" i="25" s="1"/>
  <c r="AK309" i="25"/>
  <c r="AI336" i="25"/>
  <c r="AK273" i="25"/>
  <c r="Y346" i="25" s="1"/>
  <c r="AB336" i="25"/>
  <c r="D337" i="25"/>
  <c r="Q347" i="24"/>
  <c r="AK177" i="24"/>
  <c r="U336" i="24"/>
  <c r="AK346" i="24"/>
  <c r="AK273" i="24"/>
  <c r="Y346" i="24" s="1"/>
  <c r="AB336" i="24"/>
  <c r="AK309" i="24"/>
  <c r="AI336" i="24"/>
  <c r="P347" i="24"/>
  <c r="N336" i="24"/>
  <c r="C341" i="24"/>
  <c r="C342" i="24" s="1"/>
  <c r="Q347" i="23"/>
  <c r="AK177" i="23"/>
  <c r="U336" i="23"/>
  <c r="P347" i="23"/>
  <c r="N336" i="23"/>
  <c r="AK309" i="23"/>
  <c r="AI336" i="23"/>
  <c r="F165" i="23"/>
  <c r="F336" i="23" s="1"/>
  <c r="E337" i="23" s="1"/>
  <c r="D336" i="23"/>
  <c r="G165" i="23"/>
  <c r="AK273" i="23"/>
  <c r="Y346" i="23" s="1"/>
  <c r="AB336" i="23"/>
  <c r="T121" i="16"/>
  <c r="V120" i="16"/>
  <c r="U122" i="16"/>
  <c r="K64" i="16"/>
  <c r="M63" i="16"/>
  <c r="L65" i="16"/>
  <c r="AJ347" i="23" l="1"/>
  <c r="T188" i="25"/>
  <c r="R336" i="25"/>
  <c r="U189" i="25"/>
  <c r="T336" i="25"/>
  <c r="S337" i="25" s="1"/>
  <c r="AB346" i="26"/>
  <c r="AE346" i="26" s="1"/>
  <c r="AK336" i="26"/>
  <c r="AF346" i="26" s="1"/>
  <c r="D341" i="26"/>
  <c r="AK347" i="26"/>
  <c r="AK346" i="25"/>
  <c r="AB346" i="25"/>
  <c r="AE346" i="25" s="1"/>
  <c r="AJ347" i="24"/>
  <c r="AJ348" i="24" s="1"/>
  <c r="AB346" i="24"/>
  <c r="AE346" i="24" s="1"/>
  <c r="AK336" i="24"/>
  <c r="AF346" i="24" s="1"/>
  <c r="D341" i="24"/>
  <c r="AK347" i="23"/>
  <c r="P346" i="23"/>
  <c r="AJ346" i="23" s="1"/>
  <c r="AK165" i="23"/>
  <c r="AK336" i="23" s="1"/>
  <c r="G336" i="23"/>
  <c r="D341" i="23" s="1"/>
  <c r="AB346" i="23"/>
  <c r="D337" i="23"/>
  <c r="C341" i="23"/>
  <c r="C342" i="23" s="1"/>
  <c r="W120" i="16"/>
  <c r="T122" i="16"/>
  <c r="V121" i="16"/>
  <c r="W121" i="16" s="1"/>
  <c r="U123" i="16"/>
  <c r="U124" i="16" s="1"/>
  <c r="U125" i="16" s="1"/>
  <c r="U126" i="16" s="1"/>
  <c r="U127" i="16" s="1"/>
  <c r="U128" i="16" s="1"/>
  <c r="U129" i="16" s="1"/>
  <c r="U130" i="16" s="1"/>
  <c r="U131" i="16" s="1"/>
  <c r="U132" i="16" s="1"/>
  <c r="U133" i="16" s="1"/>
  <c r="U134" i="16" s="1"/>
  <c r="U135" i="16" s="1"/>
  <c r="U136" i="16" s="1"/>
  <c r="M64" i="16"/>
  <c r="K65" i="16"/>
  <c r="O63" i="16"/>
  <c r="N63" i="16"/>
  <c r="L66" i="16"/>
  <c r="AK189" i="25" l="1"/>
  <c r="AK336" i="25" s="1"/>
  <c r="AF346" i="25" s="1"/>
  <c r="U336" i="25"/>
  <c r="R347" i="25"/>
  <c r="AJ347" i="25" s="1"/>
  <c r="R337" i="25"/>
  <c r="C341" i="25"/>
  <c r="C342" i="25" s="1"/>
  <c r="AK346" i="26"/>
  <c r="AK347" i="24"/>
  <c r="AJ348" i="23"/>
  <c r="AK346" i="23"/>
  <c r="AE346" i="23"/>
  <c r="AF346" i="23" s="1"/>
  <c r="AB136" i="16"/>
  <c r="Y155" i="16" s="1"/>
  <c r="Y157" i="16" s="1"/>
  <c r="U137" i="16"/>
  <c r="T123" i="16"/>
  <c r="V122" i="16"/>
  <c r="W122" i="16" s="1"/>
  <c r="L67" i="16"/>
  <c r="N64" i="16"/>
  <c r="K66" i="16"/>
  <c r="M65" i="16"/>
  <c r="N65" i="16" s="1"/>
  <c r="AK347" i="25" l="1"/>
  <c r="AJ348" i="25"/>
  <c r="U138" i="16"/>
  <c r="AB137" i="16"/>
  <c r="V123" i="16"/>
  <c r="X123" i="16" s="1"/>
  <c r="T124" i="16"/>
  <c r="K67" i="16"/>
  <c r="M66" i="16"/>
  <c r="N66" i="16" s="1"/>
  <c r="L68" i="16"/>
  <c r="W123" i="16" l="1"/>
  <c r="V124" i="16"/>
  <c r="T125" i="16"/>
  <c r="AB138" i="16"/>
  <c r="U139" i="16"/>
  <c r="L69" i="16"/>
  <c r="K68" i="16"/>
  <c r="M67" i="16"/>
  <c r="W124" i="16" l="1"/>
  <c r="T126" i="16"/>
  <c r="V125" i="16"/>
  <c r="W125" i="16" s="1"/>
  <c r="U140" i="16"/>
  <c r="AB139" i="16"/>
  <c r="K69" i="16"/>
  <c r="M68" i="16"/>
  <c r="N68" i="16" s="1"/>
  <c r="N67" i="16"/>
  <c r="L70" i="16"/>
  <c r="AB140" i="16" l="1"/>
  <c r="U141" i="16"/>
  <c r="T127" i="16"/>
  <c r="V126" i="16"/>
  <c r="K70" i="16"/>
  <c r="M69" i="16"/>
  <c r="N69" i="16" s="1"/>
  <c r="L71" i="16"/>
  <c r="W126" i="16" l="1"/>
  <c r="U142" i="16"/>
  <c r="AB141" i="16"/>
  <c r="V127" i="16"/>
  <c r="W127" i="16" s="1"/>
  <c r="T128" i="16"/>
  <c r="L72" i="16"/>
  <c r="K71" i="16"/>
  <c r="M70" i="16"/>
  <c r="T129" i="16" l="1"/>
  <c r="V128" i="16"/>
  <c r="AB142" i="16"/>
  <c r="U143" i="16"/>
  <c r="K72" i="16"/>
  <c r="M71" i="16"/>
  <c r="N71" i="16" s="1"/>
  <c r="L73" i="16"/>
  <c r="N70" i="16"/>
  <c r="W128" i="16" l="1"/>
  <c r="T130" i="16"/>
  <c r="V129" i="16"/>
  <c r="W129" i="16" s="1"/>
  <c r="U144" i="16"/>
  <c r="AB143" i="16"/>
  <c r="K73" i="16"/>
  <c r="M72" i="16"/>
  <c r="N72" i="16" s="1"/>
  <c r="L74" i="16"/>
  <c r="AB144" i="16" l="1"/>
  <c r="U145" i="16"/>
  <c r="V130" i="16"/>
  <c r="T131" i="16"/>
  <c r="K74" i="16"/>
  <c r="M73" i="16"/>
  <c r="N73" i="16" s="1"/>
  <c r="L75" i="16"/>
  <c r="V131" i="16" l="1"/>
  <c r="W131" i="16" s="1"/>
  <c r="T132" i="16"/>
  <c r="AB145" i="16"/>
  <c r="U146" i="16"/>
  <c r="W130" i="16"/>
  <c r="K75" i="16"/>
  <c r="M74" i="16"/>
  <c r="N74" i="16" s="1"/>
  <c r="L76" i="16"/>
  <c r="T133" i="16" l="1"/>
  <c r="V132" i="16"/>
  <c r="W132" i="16" s="1"/>
  <c r="AB146" i="16"/>
  <c r="U147" i="16"/>
  <c r="K76" i="16"/>
  <c r="M75" i="16"/>
  <c r="L77" i="16"/>
  <c r="AB147" i="16" l="1"/>
  <c r="U148" i="16"/>
  <c r="V133" i="16"/>
  <c r="W133" i="16" s="1"/>
  <c r="T134" i="16"/>
  <c r="L78" i="16"/>
  <c r="M76" i="16"/>
  <c r="K77" i="16"/>
  <c r="O75" i="16"/>
  <c r="N75" i="16"/>
  <c r="V134" i="16" l="1"/>
  <c r="W134" i="16" s="1"/>
  <c r="T135" i="16"/>
  <c r="N76" i="16"/>
  <c r="M77" i="16"/>
  <c r="N77" i="16" s="1"/>
  <c r="K78" i="16"/>
  <c r="L79" i="16"/>
  <c r="V135" i="16" l="1"/>
  <c r="T136" i="16"/>
  <c r="L80" i="16"/>
  <c r="M78" i="16"/>
  <c r="N78" i="16" s="1"/>
  <c r="K79" i="16"/>
  <c r="V136" i="16" l="1"/>
  <c r="AA136" i="16"/>
  <c r="T137" i="16"/>
  <c r="W135" i="16"/>
  <c r="X135" i="16"/>
  <c r="M79" i="16"/>
  <c r="N79" i="16" s="1"/>
  <c r="K80" i="16"/>
  <c r="L81" i="16"/>
  <c r="AC136" i="16" l="1"/>
  <c r="W136" i="16"/>
  <c r="AD136" i="16" s="1"/>
  <c r="V137" i="16"/>
  <c r="T138" i="16"/>
  <c r="AA137" i="16"/>
  <c r="L82" i="16"/>
  <c r="M80" i="16"/>
  <c r="K81" i="16"/>
  <c r="V138" i="16" l="1"/>
  <c r="AA138" i="16"/>
  <c r="T139" i="16"/>
  <c r="AC137" i="16"/>
  <c r="W137" i="16"/>
  <c r="AD137" i="16" s="1"/>
  <c r="L83" i="16"/>
  <c r="M81" i="16"/>
  <c r="N81" i="16" s="1"/>
  <c r="K82" i="16"/>
  <c r="N80" i="16"/>
  <c r="AC138" i="16" l="1"/>
  <c r="W138" i="16"/>
  <c r="AD138" i="16" s="1"/>
  <c r="V139" i="16"/>
  <c r="T140" i="16"/>
  <c r="AA139" i="16"/>
  <c r="M82" i="16"/>
  <c r="K83" i="16"/>
  <c r="L84" i="16"/>
  <c r="V140" i="16" l="1"/>
  <c r="AA140" i="16"/>
  <c r="T141" i="16"/>
  <c r="AC139" i="16"/>
  <c r="W139" i="16"/>
  <c r="AD139" i="16" s="1"/>
  <c r="M83" i="16"/>
  <c r="N83" i="16" s="1"/>
  <c r="K84" i="16"/>
  <c r="L85" i="16"/>
  <c r="N82" i="16"/>
  <c r="AC140" i="16" l="1"/>
  <c r="W140" i="16"/>
  <c r="AD140" i="16" s="1"/>
  <c r="V141" i="16"/>
  <c r="T142" i="16"/>
  <c r="AA141" i="16"/>
  <c r="L86" i="16"/>
  <c r="M84" i="16"/>
  <c r="N84" i="16" s="1"/>
  <c r="K85" i="16"/>
  <c r="V142" i="16" l="1"/>
  <c r="AA142" i="16"/>
  <c r="T143" i="16"/>
  <c r="AC141" i="16"/>
  <c r="W141" i="16"/>
  <c r="AD141" i="16" s="1"/>
  <c r="M85" i="16"/>
  <c r="N85" i="16" s="1"/>
  <c r="K86" i="16"/>
  <c r="L87" i="16"/>
  <c r="AC142" i="16" l="1"/>
  <c r="W142" i="16"/>
  <c r="AD142" i="16" s="1"/>
  <c r="V143" i="16"/>
  <c r="T144" i="16"/>
  <c r="AA143" i="16"/>
  <c r="M86" i="16"/>
  <c r="N86" i="16" s="1"/>
  <c r="K87" i="16"/>
  <c r="L88" i="16"/>
  <c r="V144" i="16" l="1"/>
  <c r="AA144" i="16"/>
  <c r="T145" i="16"/>
  <c r="AC143" i="16"/>
  <c r="W143" i="16"/>
  <c r="AD143" i="16" s="1"/>
  <c r="L89" i="16"/>
  <c r="K88" i="16"/>
  <c r="M87" i="16"/>
  <c r="AC144" i="16" l="1"/>
  <c r="W144" i="16"/>
  <c r="AD144" i="16" s="1"/>
  <c r="V145" i="16"/>
  <c r="AA145" i="16"/>
  <c r="T146" i="16"/>
  <c r="K89" i="16"/>
  <c r="M88" i="16"/>
  <c r="L90" i="16"/>
  <c r="O87" i="16"/>
  <c r="N87" i="16"/>
  <c r="V146" i="16" l="1"/>
  <c r="AA146" i="16"/>
  <c r="T147" i="16"/>
  <c r="AC145" i="16"/>
  <c r="W145" i="16"/>
  <c r="AD145" i="16" s="1"/>
  <c r="L91" i="16"/>
  <c r="K90" i="16"/>
  <c r="M89" i="16"/>
  <c r="N89" i="16" s="1"/>
  <c r="N88" i="16"/>
  <c r="V147" i="16" l="1"/>
  <c r="AA147" i="16"/>
  <c r="W146" i="16"/>
  <c r="AD146" i="16" s="1"/>
  <c r="AC146" i="16"/>
  <c r="L92" i="16"/>
  <c r="K91" i="16"/>
  <c r="M90" i="16"/>
  <c r="W147" i="16" l="1"/>
  <c r="AC147" i="16"/>
  <c r="V148" i="16"/>
  <c r="X146" i="16"/>
  <c r="AF146" i="16" s="1"/>
  <c r="K92" i="16"/>
  <c r="M91" i="16"/>
  <c r="N91" i="16" s="1"/>
  <c r="N90" i="16"/>
  <c r="L93" i="16"/>
  <c r="AD147" i="16" l="1"/>
  <c r="W148" i="16"/>
  <c r="K93" i="16"/>
  <c r="M92" i="16"/>
  <c r="L94" i="16"/>
  <c r="K94" i="16" l="1"/>
  <c r="M93" i="16"/>
  <c r="N93" i="16" s="1"/>
  <c r="L95" i="16"/>
  <c r="N92" i="16"/>
  <c r="K95" i="16" l="1"/>
  <c r="M94" i="16"/>
  <c r="L96" i="16"/>
  <c r="K96" i="16" l="1"/>
  <c r="M95" i="16"/>
  <c r="N95" i="16" s="1"/>
  <c r="L97" i="16"/>
  <c r="N94" i="16"/>
  <c r="K97" i="16" l="1"/>
  <c r="M96" i="16"/>
  <c r="N96" i="16" s="1"/>
  <c r="L98" i="16"/>
  <c r="K98" i="16" l="1"/>
  <c r="M97" i="16"/>
  <c r="N97" i="16" s="1"/>
  <c r="L99" i="16"/>
  <c r="L100" i="16" s="1"/>
  <c r="L101" i="16" s="1"/>
  <c r="L102" i="16" s="1"/>
  <c r="L103" i="16" s="1"/>
  <c r="L104" i="16" s="1"/>
  <c r="L105" i="16" s="1"/>
  <c r="L106" i="16" s="1"/>
  <c r="L107" i="16" s="1"/>
  <c r="L108" i="16" s="1"/>
  <c r="L109" i="16" s="1"/>
  <c r="L110" i="16" s="1"/>
  <c r="L111" i="16" s="1"/>
  <c r="L112" i="16" s="1"/>
  <c r="L113" i="16" s="1"/>
  <c r="L114" i="16" s="1"/>
  <c r="L115" i="16" s="1"/>
  <c r="L116" i="16" s="1"/>
  <c r="L117" i="16" s="1"/>
  <c r="L118" i="16" s="1"/>
  <c r="L119" i="16" s="1"/>
  <c r="L120" i="16" s="1"/>
  <c r="L121" i="16" s="1"/>
  <c r="L122" i="16" s="1"/>
  <c r="L123" i="16" s="1"/>
  <c r="L124" i="16" s="1"/>
  <c r="L125" i="16" l="1"/>
  <c r="AB124" i="16"/>
  <c r="I155" i="16"/>
  <c r="I157" i="16" s="1"/>
  <c r="K99" i="16"/>
  <c r="M98" i="16"/>
  <c r="N98" i="16" s="1"/>
  <c r="L126" i="16" l="1"/>
  <c r="AB125" i="16"/>
  <c r="K100" i="16"/>
  <c r="M99" i="16"/>
  <c r="L127" i="16" l="1"/>
  <c r="AB126" i="16"/>
  <c r="O99" i="16"/>
  <c r="N99" i="16"/>
  <c r="M100" i="16"/>
  <c r="K101" i="16"/>
  <c r="L128" i="16" l="1"/>
  <c r="AB127" i="16"/>
  <c r="N100" i="16"/>
  <c r="K102" i="16"/>
  <c r="M101" i="16"/>
  <c r="N101" i="16" s="1"/>
  <c r="L129" i="16" l="1"/>
  <c r="AB128" i="16"/>
  <c r="K103" i="16"/>
  <c r="M102" i="16"/>
  <c r="N102" i="16" s="1"/>
  <c r="L130" i="16" l="1"/>
  <c r="AB129" i="16"/>
  <c r="M103" i="16"/>
  <c r="K104" i="16"/>
  <c r="L131" i="16" l="1"/>
  <c r="AB130" i="16"/>
  <c r="N103" i="16"/>
  <c r="M104" i="16"/>
  <c r="N104" i="16" s="1"/>
  <c r="K105" i="16"/>
  <c r="L132" i="16" l="1"/>
  <c r="AB131" i="16"/>
  <c r="K106" i="16"/>
  <c r="M105" i="16"/>
  <c r="N105" i="16" s="1"/>
  <c r="L133" i="16" l="1"/>
  <c r="AB132" i="16"/>
  <c r="K107" i="16"/>
  <c r="M106" i="16"/>
  <c r="N106" i="16" s="1"/>
  <c r="L134" i="16" l="1"/>
  <c r="AB133" i="16"/>
  <c r="M107" i="16"/>
  <c r="N107" i="16" s="1"/>
  <c r="K108" i="16"/>
  <c r="L135" i="16" l="1"/>
  <c r="AB134" i="16"/>
  <c r="M108" i="16"/>
  <c r="N108" i="16" s="1"/>
  <c r="K109" i="16"/>
  <c r="AB135" i="16" l="1"/>
  <c r="L148" i="16"/>
  <c r="K110" i="16"/>
  <c r="M109" i="16"/>
  <c r="N109" i="16" s="1"/>
  <c r="K111" i="16" l="1"/>
  <c r="M110" i="16"/>
  <c r="N110" i="16" s="1"/>
  <c r="K112" i="16" l="1"/>
  <c r="M111" i="16"/>
  <c r="K113" i="16" l="1"/>
  <c r="M112" i="16"/>
  <c r="N111" i="16"/>
  <c r="O111" i="16"/>
  <c r="M113" i="16" l="1"/>
  <c r="N113" i="16" s="1"/>
  <c r="K114" i="16"/>
  <c r="N112" i="16"/>
  <c r="H135" i="16" l="1"/>
  <c r="L152" i="16" s="1"/>
  <c r="M114" i="16"/>
  <c r="N114" i="16" s="1"/>
  <c r="K115" i="16"/>
  <c r="K116" i="16" l="1"/>
  <c r="M115" i="16"/>
  <c r="N115" i="16" s="1"/>
  <c r="K117" i="16" l="1"/>
  <c r="M116" i="16"/>
  <c r="N116" i="16" l="1"/>
  <c r="M117" i="16"/>
  <c r="N117" i="16" s="1"/>
  <c r="K118" i="16"/>
  <c r="M118" i="16" l="1"/>
  <c r="N118" i="16" s="1"/>
  <c r="K119" i="16"/>
  <c r="K120" i="16" l="1"/>
  <c r="M119" i="16"/>
  <c r="N119" i="16" s="1"/>
  <c r="K121" i="16" l="1"/>
  <c r="M120" i="16"/>
  <c r="N120" i="16" s="1"/>
  <c r="M121" i="16" l="1"/>
  <c r="N121" i="16" s="1"/>
  <c r="K122" i="16"/>
  <c r="M122" i="16" l="1"/>
  <c r="N122" i="16" s="1"/>
  <c r="K123" i="16"/>
  <c r="K124" i="16" s="1"/>
  <c r="K125" i="16" l="1"/>
  <c r="AA124" i="16"/>
  <c r="M124" i="16"/>
  <c r="M123" i="16"/>
  <c r="B155" i="16"/>
  <c r="K126" i="16" l="1"/>
  <c r="AA125" i="16"/>
  <c r="M125" i="16"/>
  <c r="AC124" i="16"/>
  <c r="N124" i="16"/>
  <c r="AD124" i="16" s="1"/>
  <c r="N123" i="16"/>
  <c r="O123" i="16"/>
  <c r="AC125" i="16" l="1"/>
  <c r="N125" i="16"/>
  <c r="AD125" i="16" s="1"/>
  <c r="AA126" i="16"/>
  <c r="M126" i="16"/>
  <c r="K127" i="16"/>
  <c r="N152" i="16"/>
  <c r="O152" i="16"/>
  <c r="M127" i="16" l="1"/>
  <c r="K128" i="16"/>
  <c r="AA127" i="16"/>
  <c r="AC126" i="16"/>
  <c r="N126" i="16"/>
  <c r="AD126" i="16" s="1"/>
  <c r="M152" i="16"/>
  <c r="B156" i="16"/>
  <c r="B157" i="16" s="1"/>
  <c r="AC127" i="16" l="1"/>
  <c r="N127" i="16"/>
  <c r="AD127" i="16" s="1"/>
  <c r="M128" i="16"/>
  <c r="K129" i="16"/>
  <c r="AA128" i="16"/>
  <c r="AC128" i="16" l="1"/>
  <c r="N128" i="16"/>
  <c r="AD128" i="16" s="1"/>
  <c r="M129" i="16"/>
  <c r="AA129" i="16"/>
  <c r="K130" i="16"/>
  <c r="R155" i="16"/>
  <c r="R157" i="16" s="1"/>
  <c r="AA130" i="16" l="1"/>
  <c r="M130" i="16"/>
  <c r="K131" i="16"/>
  <c r="AC129" i="16"/>
  <c r="N129" i="16"/>
  <c r="AD129" i="16" s="1"/>
  <c r="AE146" i="16"/>
  <c r="AA131" i="16" l="1"/>
  <c r="K132" i="16"/>
  <c r="M131" i="16"/>
  <c r="AC130" i="16"/>
  <c r="N130" i="16"/>
  <c r="AD130" i="16" s="1"/>
  <c r="M132" i="16" l="1"/>
  <c r="K133" i="16"/>
  <c r="AA132" i="16"/>
  <c r="AC131" i="16"/>
  <c r="N131" i="16"/>
  <c r="AD131" i="16" s="1"/>
  <c r="AC132" i="16" l="1"/>
  <c r="N132" i="16"/>
  <c r="AD132" i="16" s="1"/>
  <c r="K134" i="16"/>
  <c r="AA133" i="16"/>
  <c r="M133" i="16"/>
  <c r="AC133" i="16" l="1"/>
  <c r="N133" i="16"/>
  <c r="AD133" i="16" s="1"/>
  <c r="M134" i="16"/>
  <c r="K135" i="16"/>
  <c r="AA134" i="16"/>
  <c r="AA26" i="16"/>
  <c r="AB26" i="16"/>
  <c r="AC134" i="16" l="1"/>
  <c r="N134" i="16"/>
  <c r="AD134" i="16" s="1"/>
  <c r="AA135" i="16"/>
  <c r="M135" i="16"/>
  <c r="E27" i="16"/>
  <c r="AC26" i="16"/>
  <c r="G26" i="16"/>
  <c r="AC135" i="16" l="1"/>
  <c r="AE135" i="16" s="1"/>
  <c r="M148" i="16"/>
  <c r="N135" i="16"/>
  <c r="O135" i="16"/>
  <c r="AD26" i="16"/>
  <c r="AB27" i="16"/>
  <c r="D27" i="16"/>
  <c r="F27" i="16" s="1"/>
  <c r="E28" i="16"/>
  <c r="AD135" i="16" l="1"/>
  <c r="N148" i="16"/>
  <c r="O148" i="16"/>
  <c r="AF135" i="16"/>
  <c r="D28" i="16"/>
  <c r="AA27" i="16"/>
  <c r="AB28" i="16"/>
  <c r="E29" i="16"/>
  <c r="AC27" i="16" l="1"/>
  <c r="H27" i="16"/>
  <c r="G27" i="16"/>
  <c r="E30" i="16"/>
  <c r="AB29" i="16"/>
  <c r="D29" i="16"/>
  <c r="AA28" i="16"/>
  <c r="F28" i="16"/>
  <c r="AC28" i="16" l="1"/>
  <c r="G28" i="16"/>
  <c r="AD28" i="16" s="1"/>
  <c r="AB30" i="16"/>
  <c r="E31" i="16"/>
  <c r="F29" i="16"/>
  <c r="D30" i="16"/>
  <c r="AA29" i="16"/>
  <c r="AE27" i="16"/>
  <c r="C152" i="16"/>
  <c r="AF27" i="16"/>
  <c r="AD27" i="16"/>
  <c r="F30" i="16" l="1"/>
  <c r="D31" i="16"/>
  <c r="AA30" i="16"/>
  <c r="AB31" i="16"/>
  <c r="E32" i="16"/>
  <c r="Z152" i="16"/>
  <c r="AC29" i="16"/>
  <c r="G29" i="16"/>
  <c r="AC30" i="16" l="1"/>
  <c r="G30" i="16"/>
  <c r="AD30" i="16" s="1"/>
  <c r="AA31" i="16"/>
  <c r="F31" i="16"/>
  <c r="D32" i="16"/>
  <c r="AB32" i="16"/>
  <c r="E33" i="16"/>
  <c r="AD29" i="16"/>
  <c r="AC31" i="16" l="1"/>
  <c r="G31" i="16"/>
  <c r="AD31" i="16" s="1"/>
  <c r="D33" i="16"/>
  <c r="AA32" i="16"/>
  <c r="F32" i="16"/>
  <c r="E34" i="16"/>
  <c r="AB33" i="16"/>
  <c r="AC32" i="16" l="1"/>
  <c r="G32" i="16"/>
  <c r="AB34" i="16"/>
  <c r="E35" i="16"/>
  <c r="AA33" i="16"/>
  <c r="D34" i="16"/>
  <c r="F33" i="16"/>
  <c r="AB35" i="16" l="1"/>
  <c r="E36" i="16"/>
  <c r="F34" i="16"/>
  <c r="D35" i="16"/>
  <c r="AA34" i="16"/>
  <c r="AC33" i="16"/>
  <c r="G33" i="16"/>
  <c r="AD33" i="16" s="1"/>
  <c r="AD32" i="16"/>
  <c r="AA35" i="16" l="1"/>
  <c r="F35" i="16"/>
  <c r="D36" i="16"/>
  <c r="AB36" i="16"/>
  <c r="E37" i="16"/>
  <c r="AC34" i="16"/>
  <c r="G34" i="16"/>
  <c r="AD34" i="16" s="1"/>
  <c r="E38" i="16" l="1"/>
  <c r="AB37" i="16"/>
  <c r="AC35" i="16"/>
  <c r="G35" i="16"/>
  <c r="AD35" i="16" s="1"/>
  <c r="AA36" i="16"/>
  <c r="F36" i="16"/>
  <c r="D37" i="16"/>
  <c r="AB38" i="16" l="1"/>
  <c r="E39" i="16"/>
  <c r="AC36" i="16"/>
  <c r="G36" i="16"/>
  <c r="AD36" i="16" s="1"/>
  <c r="F37" i="16"/>
  <c r="D38" i="16"/>
  <c r="AA37" i="16"/>
  <c r="D39" i="16" l="1"/>
  <c r="AA38" i="16"/>
  <c r="F38" i="16"/>
  <c r="AC37" i="16"/>
  <c r="G37" i="16"/>
  <c r="AD37" i="16" s="1"/>
  <c r="AB39" i="16"/>
  <c r="E40" i="16"/>
  <c r="AA39" i="16" l="1"/>
  <c r="F39" i="16"/>
  <c r="D40" i="16"/>
  <c r="AC38" i="16"/>
  <c r="G38" i="16"/>
  <c r="AD38" i="16" s="1"/>
  <c r="E41" i="16"/>
  <c r="AB40" i="16"/>
  <c r="E42" i="16" l="1"/>
  <c r="AB41" i="16"/>
  <c r="AC39" i="16"/>
  <c r="AE39" i="16" s="1"/>
  <c r="H39" i="16"/>
  <c r="G39" i="16"/>
  <c r="AD39" i="16" s="1"/>
  <c r="F40" i="16"/>
  <c r="D41" i="16"/>
  <c r="AA40" i="16"/>
  <c r="AC40" i="16" l="1"/>
  <c r="G40" i="16"/>
  <c r="AD40" i="16" s="1"/>
  <c r="AF39" i="16"/>
  <c r="AB42" i="16"/>
  <c r="E43" i="16"/>
  <c r="D42" i="16"/>
  <c r="AA41" i="16"/>
  <c r="F41" i="16"/>
  <c r="AA152" i="16"/>
  <c r="AC41" i="16" l="1"/>
  <c r="G41" i="16"/>
  <c r="AD41" i="16" s="1"/>
  <c r="D43" i="16"/>
  <c r="AA42" i="16"/>
  <c r="F42" i="16"/>
  <c r="AB43" i="16"/>
  <c r="E44" i="16"/>
  <c r="E45" i="16" l="1"/>
  <c r="AB44" i="16"/>
  <c r="AC42" i="16"/>
  <c r="G42" i="16"/>
  <c r="AD42" i="16" s="1"/>
  <c r="AA43" i="16"/>
  <c r="F43" i="16"/>
  <c r="D44" i="16"/>
  <c r="AC43" i="16" l="1"/>
  <c r="G43" i="16"/>
  <c r="AD43" i="16" s="1"/>
  <c r="F44" i="16"/>
  <c r="D45" i="16"/>
  <c r="AA44" i="16"/>
  <c r="E46" i="16"/>
  <c r="AB45" i="16"/>
  <c r="AC44" i="16" l="1"/>
  <c r="G44" i="16"/>
  <c r="AD44" i="16" s="1"/>
  <c r="F45" i="16"/>
  <c r="AA45" i="16"/>
  <c r="D46" i="16"/>
  <c r="AB46" i="16"/>
  <c r="E47" i="16"/>
  <c r="D47" i="16" l="1"/>
  <c r="AA46" i="16"/>
  <c r="F46" i="16"/>
  <c r="AC45" i="16"/>
  <c r="G45" i="16"/>
  <c r="AD45" i="16" s="1"/>
  <c r="AB47" i="16"/>
  <c r="E48" i="16"/>
  <c r="AA47" i="16" l="1"/>
  <c r="F47" i="16"/>
  <c r="D48" i="16"/>
  <c r="AC46" i="16"/>
  <c r="G46" i="16"/>
  <c r="AD46" i="16" s="1"/>
  <c r="AB48" i="16"/>
  <c r="E49" i="16"/>
  <c r="AC47" i="16" l="1"/>
  <c r="G47" i="16"/>
  <c r="AD47" i="16" s="1"/>
  <c r="AA48" i="16"/>
  <c r="F48" i="16"/>
  <c r="D49" i="16"/>
  <c r="E50" i="16"/>
  <c r="AB49" i="16"/>
  <c r="F49" i="16" l="1"/>
  <c r="D50" i="16"/>
  <c r="AA49" i="16"/>
  <c r="AB50" i="16"/>
  <c r="E51" i="16"/>
  <c r="AC48" i="16"/>
  <c r="G48" i="16"/>
  <c r="AD48" i="16" s="1"/>
  <c r="AC49" i="16" l="1"/>
  <c r="G49" i="16"/>
  <c r="AD49" i="16" s="1"/>
  <c r="E52" i="16"/>
  <c r="AB51" i="16"/>
  <c r="AA50" i="16"/>
  <c r="D51" i="16"/>
  <c r="F50" i="16"/>
  <c r="F51" i="16" l="1"/>
  <c r="AA51" i="16"/>
  <c r="D52" i="16"/>
  <c r="AC50" i="16"/>
  <c r="G50" i="16"/>
  <c r="AD50" i="16" s="1"/>
  <c r="AB52" i="16"/>
  <c r="E53" i="16"/>
  <c r="AB53" i="16" l="1"/>
  <c r="E54" i="16"/>
  <c r="AC51" i="16"/>
  <c r="AE51" i="16" s="1"/>
  <c r="H51" i="16"/>
  <c r="G51" i="16"/>
  <c r="AD51" i="16" s="1"/>
  <c r="AA52" i="16"/>
  <c r="D53" i="16"/>
  <c r="F52" i="16"/>
  <c r="AC52" i="16" l="1"/>
  <c r="G52" i="16"/>
  <c r="AD52" i="16" s="1"/>
  <c r="AF51" i="16"/>
  <c r="AB54" i="16"/>
  <c r="E55" i="16"/>
  <c r="AA53" i="16"/>
  <c r="D54" i="16"/>
  <c r="F53" i="16"/>
  <c r="AB152" i="16"/>
  <c r="AC53" i="16" l="1"/>
  <c r="G53" i="16"/>
  <c r="AD53" i="16" s="1"/>
  <c r="F54" i="16"/>
  <c r="AA54" i="16"/>
  <c r="D55" i="16"/>
  <c r="AB55" i="16"/>
  <c r="E56" i="16"/>
  <c r="AB56" i="16" l="1"/>
  <c r="E57" i="16"/>
  <c r="AA55" i="16"/>
  <c r="F55" i="16"/>
  <c r="D56" i="16"/>
  <c r="AC54" i="16"/>
  <c r="G54" i="16"/>
  <c r="AD54" i="16" s="1"/>
  <c r="AA56" i="16" l="1"/>
  <c r="D57" i="16"/>
  <c r="F56" i="16"/>
  <c r="AC55" i="16"/>
  <c r="G55" i="16"/>
  <c r="AD55" i="16" s="1"/>
  <c r="E58" i="16"/>
  <c r="AB57" i="16"/>
  <c r="AB58" i="16" l="1"/>
  <c r="E59" i="16"/>
  <c r="AC56" i="16"/>
  <c r="G56" i="16"/>
  <c r="AD56" i="16" s="1"/>
  <c r="F57" i="16"/>
  <c r="D58" i="16"/>
  <c r="AA57" i="16"/>
  <c r="AC57" i="16" l="1"/>
  <c r="G57" i="16"/>
  <c r="AD57" i="16" s="1"/>
  <c r="E60" i="16"/>
  <c r="AB59" i="16"/>
  <c r="F58" i="16"/>
  <c r="AA58" i="16"/>
  <c r="D59" i="16"/>
  <c r="AC58" i="16" l="1"/>
  <c r="G58" i="16"/>
  <c r="AD58" i="16" s="1"/>
  <c r="F59" i="16"/>
  <c r="AA59" i="16"/>
  <c r="D60" i="16"/>
  <c r="AB60" i="16"/>
  <c r="E61" i="16"/>
  <c r="E62" i="16" l="1"/>
  <c r="AB61" i="16"/>
  <c r="AA60" i="16"/>
  <c r="D61" i="16"/>
  <c r="F60" i="16"/>
  <c r="AC59" i="16"/>
  <c r="G59" i="16"/>
  <c r="AD59" i="16" s="1"/>
  <c r="D62" i="16" l="1"/>
  <c r="AA61" i="16"/>
  <c r="F61" i="16"/>
  <c r="AC60" i="16"/>
  <c r="G60" i="16"/>
  <c r="AD60" i="16" s="1"/>
  <c r="AB62" i="16"/>
  <c r="E63" i="16"/>
  <c r="AB63" i="16" l="1"/>
  <c r="E64" i="16"/>
  <c r="AA62" i="16"/>
  <c r="F62" i="16"/>
  <c r="D63" i="16"/>
  <c r="AC61" i="16"/>
  <c r="G61" i="16"/>
  <c r="AD61" i="16" s="1"/>
  <c r="AC62" i="16" l="1"/>
  <c r="G62" i="16"/>
  <c r="AD62" i="16" s="1"/>
  <c r="F63" i="16"/>
  <c r="D64" i="16"/>
  <c r="AA63" i="16"/>
  <c r="AB64" i="16"/>
  <c r="E65" i="16"/>
  <c r="AC63" i="16" l="1"/>
  <c r="AE63" i="16" s="1"/>
  <c r="H63" i="16"/>
  <c r="G63" i="16"/>
  <c r="AD63" i="16" s="1"/>
  <c r="E66" i="16"/>
  <c r="AB65" i="16"/>
  <c r="F64" i="16"/>
  <c r="D65" i="16"/>
  <c r="AA64" i="16"/>
  <c r="AC64" i="16" l="1"/>
  <c r="G64" i="16"/>
  <c r="AD64" i="16" s="1"/>
  <c r="AC152" i="16"/>
  <c r="AF63" i="16"/>
  <c r="F65" i="16"/>
  <c r="D66" i="16"/>
  <c r="AA65" i="16"/>
  <c r="AB66" i="16"/>
  <c r="E67" i="16"/>
  <c r="AB67" i="16" l="1"/>
  <c r="E68" i="16"/>
  <c r="AA66" i="16"/>
  <c r="F66" i="16"/>
  <c r="D67" i="16"/>
  <c r="AC65" i="16"/>
  <c r="G65" i="16"/>
  <c r="AD65" i="16" s="1"/>
  <c r="E69" i="16" l="1"/>
  <c r="AB68" i="16"/>
  <c r="AC66" i="16"/>
  <c r="G66" i="16"/>
  <c r="AD66" i="16" s="1"/>
  <c r="F67" i="16"/>
  <c r="D68" i="16"/>
  <c r="AA67" i="16"/>
  <c r="D69" i="16" l="1"/>
  <c r="F68" i="16"/>
  <c r="AA68" i="16"/>
  <c r="E70" i="16"/>
  <c r="AB69" i="16"/>
  <c r="AC67" i="16"/>
  <c r="G67" i="16"/>
  <c r="AD67" i="16" s="1"/>
  <c r="D70" i="16" l="1"/>
  <c r="AA69" i="16"/>
  <c r="F69" i="16"/>
  <c r="AC68" i="16"/>
  <c r="G68" i="16"/>
  <c r="AD68" i="16" s="1"/>
  <c r="AB70" i="16"/>
  <c r="E71" i="16"/>
  <c r="AB71" i="16" l="1"/>
  <c r="E72" i="16"/>
  <c r="F70" i="16"/>
  <c r="AA70" i="16"/>
  <c r="D71" i="16"/>
  <c r="AC69" i="16"/>
  <c r="G69" i="16"/>
  <c r="AD69" i="16" s="1"/>
  <c r="AB72" i="16" l="1"/>
  <c r="E73" i="16"/>
  <c r="AA71" i="16"/>
  <c r="F71" i="16"/>
  <c r="D72" i="16"/>
  <c r="AC70" i="16"/>
  <c r="G70" i="16"/>
  <c r="AD70" i="16" s="1"/>
  <c r="AC71" i="16" l="1"/>
  <c r="G71" i="16"/>
  <c r="AD71" i="16" s="1"/>
  <c r="D73" i="16"/>
  <c r="AA72" i="16"/>
  <c r="F72" i="16"/>
  <c r="E74" i="16"/>
  <c r="AB73" i="16"/>
  <c r="AB74" i="16" l="1"/>
  <c r="E75" i="16"/>
  <c r="AC72" i="16"/>
  <c r="G72" i="16"/>
  <c r="AD72" i="16" s="1"/>
  <c r="D74" i="16"/>
  <c r="F73" i="16"/>
  <c r="AA73" i="16"/>
  <c r="AA74" i="16" l="1"/>
  <c r="F74" i="16"/>
  <c r="D75" i="16"/>
  <c r="AB75" i="16"/>
  <c r="E76" i="16"/>
  <c r="AC73" i="16"/>
  <c r="G73" i="16"/>
  <c r="AD73" i="16" s="1"/>
  <c r="AB76" i="16" l="1"/>
  <c r="E77" i="16"/>
  <c r="AC74" i="16"/>
  <c r="G74" i="16"/>
  <c r="AD74" i="16" s="1"/>
  <c r="AA75" i="16"/>
  <c r="D76" i="16"/>
  <c r="F75" i="16"/>
  <c r="E78" i="16" l="1"/>
  <c r="AB77" i="16"/>
  <c r="AA76" i="16"/>
  <c r="F76" i="16"/>
  <c r="D77" i="16"/>
  <c r="AC75" i="16"/>
  <c r="AE75" i="16" s="1"/>
  <c r="H75" i="16"/>
  <c r="G75" i="16"/>
  <c r="AD75" i="16" s="1"/>
  <c r="AC76" i="16" l="1"/>
  <c r="G76" i="16"/>
  <c r="AD76" i="16" s="1"/>
  <c r="AB78" i="16"/>
  <c r="E79" i="16"/>
  <c r="AA77" i="16"/>
  <c r="F77" i="16"/>
  <c r="D78" i="16"/>
  <c r="AD152" i="16"/>
  <c r="AF75" i="16"/>
  <c r="AB79" i="16" l="1"/>
  <c r="E80" i="16"/>
  <c r="AA78" i="16"/>
  <c r="F78" i="16"/>
  <c r="D79" i="16"/>
  <c r="AC77" i="16"/>
  <c r="G77" i="16"/>
  <c r="AD77" i="16" s="1"/>
  <c r="F79" i="16" l="1"/>
  <c r="AA79" i="16"/>
  <c r="D80" i="16"/>
  <c r="AC78" i="16"/>
  <c r="G78" i="16"/>
  <c r="AD78" i="16" s="1"/>
  <c r="E81" i="16"/>
  <c r="AB80" i="16"/>
  <c r="AA80" i="16" l="1"/>
  <c r="D81" i="16"/>
  <c r="F80" i="16"/>
  <c r="AC79" i="16"/>
  <c r="G79" i="16"/>
  <c r="AD79" i="16" s="1"/>
  <c r="AB81" i="16"/>
  <c r="E82" i="16"/>
  <c r="D82" i="16" l="1"/>
  <c r="AA81" i="16"/>
  <c r="F81" i="16"/>
  <c r="AC80" i="16"/>
  <c r="G80" i="16"/>
  <c r="AD80" i="16" s="1"/>
  <c r="AB82" i="16"/>
  <c r="E83" i="16"/>
  <c r="AB83" i="16" l="1"/>
  <c r="E84" i="16"/>
  <c r="F82" i="16"/>
  <c r="AA82" i="16"/>
  <c r="D83" i="16"/>
  <c r="AC81" i="16"/>
  <c r="G81" i="16"/>
  <c r="AD81" i="16" s="1"/>
  <c r="AA83" i="16" l="1"/>
  <c r="F83" i="16"/>
  <c r="D84" i="16"/>
  <c r="E85" i="16"/>
  <c r="AB84" i="16"/>
  <c r="AC82" i="16"/>
  <c r="G82" i="16"/>
  <c r="AD82" i="16" s="1"/>
  <c r="AC83" i="16" l="1"/>
  <c r="G83" i="16"/>
  <c r="AD83" i="16" s="1"/>
  <c r="D85" i="16"/>
  <c r="F84" i="16"/>
  <c r="AA84" i="16"/>
  <c r="E86" i="16"/>
  <c r="AB85" i="16"/>
  <c r="AB86" i="16" l="1"/>
  <c r="E87" i="16"/>
  <c r="F85" i="16"/>
  <c r="AA85" i="16"/>
  <c r="D86" i="16"/>
  <c r="AC84" i="16"/>
  <c r="G84" i="16"/>
  <c r="AD84" i="16" s="1"/>
  <c r="F86" i="16" l="1"/>
  <c r="D87" i="16"/>
  <c r="AA86" i="16"/>
  <c r="AB87" i="16"/>
  <c r="E88" i="16"/>
  <c r="AC85" i="16"/>
  <c r="G85" i="16"/>
  <c r="AD85" i="16" s="1"/>
  <c r="AC86" i="16" l="1"/>
  <c r="G86" i="16"/>
  <c r="AD86" i="16" s="1"/>
  <c r="AB88" i="16"/>
  <c r="E89" i="16"/>
  <c r="F87" i="16"/>
  <c r="AA87" i="16"/>
  <c r="D88" i="16"/>
  <c r="AC87" i="16" l="1"/>
  <c r="AE87" i="16" s="1"/>
  <c r="H87" i="16"/>
  <c r="G87" i="16"/>
  <c r="AD87" i="16" s="1"/>
  <c r="AB89" i="16"/>
  <c r="E90" i="16"/>
  <c r="AA88" i="16"/>
  <c r="F88" i="16"/>
  <c r="D89" i="16"/>
  <c r="AB90" i="16" l="1"/>
  <c r="E91" i="16"/>
  <c r="F89" i="16"/>
  <c r="AA89" i="16"/>
  <c r="D90" i="16"/>
  <c r="H152" i="16"/>
  <c r="AF87" i="16"/>
  <c r="AC88" i="16"/>
  <c r="G88" i="16"/>
  <c r="AD88" i="16" s="1"/>
  <c r="AA90" i="16" l="1"/>
  <c r="D91" i="16"/>
  <c r="F90" i="16"/>
  <c r="AB91" i="16"/>
  <c r="E92" i="16"/>
  <c r="AC89" i="16"/>
  <c r="G89" i="16"/>
  <c r="AD89" i="16" s="1"/>
  <c r="AB92" i="16" l="1"/>
  <c r="E93" i="16"/>
  <c r="AA91" i="16"/>
  <c r="F91" i="16"/>
  <c r="D92" i="16"/>
  <c r="AC90" i="16"/>
  <c r="G90" i="16"/>
  <c r="AD90" i="16" s="1"/>
  <c r="AC91" i="16" l="1"/>
  <c r="G91" i="16"/>
  <c r="AD91" i="16" s="1"/>
  <c r="F92" i="16"/>
  <c r="D93" i="16"/>
  <c r="AA92" i="16"/>
  <c r="AB93" i="16"/>
  <c r="E94" i="16"/>
  <c r="AB94" i="16" l="1"/>
  <c r="E95" i="16"/>
  <c r="AC92" i="16"/>
  <c r="G92" i="16"/>
  <c r="AD92" i="16" s="1"/>
  <c r="F93" i="16"/>
  <c r="D94" i="16"/>
  <c r="AA93" i="16"/>
  <c r="AC93" i="16" l="1"/>
  <c r="G93" i="16"/>
  <c r="AD93" i="16" s="1"/>
  <c r="AB95" i="16"/>
  <c r="E96" i="16"/>
  <c r="F94" i="16"/>
  <c r="D95" i="16"/>
  <c r="AA94" i="16"/>
  <c r="E97" i="16" l="1"/>
  <c r="AB96" i="16"/>
  <c r="AC94" i="16"/>
  <c r="G94" i="16"/>
  <c r="AD94" i="16" s="1"/>
  <c r="AA95" i="16"/>
  <c r="D96" i="16"/>
  <c r="F95" i="16"/>
  <c r="AB97" i="16" l="1"/>
  <c r="E98" i="16"/>
  <c r="AC95" i="16"/>
  <c r="G95" i="16"/>
  <c r="AD95" i="16" s="1"/>
  <c r="AA96" i="16"/>
  <c r="D97" i="16"/>
  <c r="F96" i="16"/>
  <c r="F97" i="16" l="1"/>
  <c r="D98" i="16"/>
  <c r="AA97" i="16"/>
  <c r="AB98" i="16"/>
  <c r="E99" i="16"/>
  <c r="AC96" i="16"/>
  <c r="G96" i="16"/>
  <c r="AD96" i="16" s="1"/>
  <c r="AC97" i="16" l="1"/>
  <c r="G97" i="16"/>
  <c r="AD97" i="16" s="1"/>
  <c r="E100" i="16"/>
  <c r="AB99" i="16"/>
  <c r="AA98" i="16"/>
  <c r="D99" i="16"/>
  <c r="F98" i="16"/>
  <c r="AA99" i="16" l="1"/>
  <c r="F99" i="16"/>
  <c r="D100" i="16"/>
  <c r="AC98" i="16"/>
  <c r="G98" i="16"/>
  <c r="AD98" i="16" s="1"/>
  <c r="AB100" i="16"/>
  <c r="E101" i="16"/>
  <c r="AC99" i="16" l="1"/>
  <c r="AE99" i="16" s="1"/>
  <c r="H99" i="16"/>
  <c r="AF99" i="16" s="1"/>
  <c r="G99" i="16"/>
  <c r="AD99" i="16" s="1"/>
  <c r="F100" i="16"/>
  <c r="D101" i="16"/>
  <c r="AA100" i="16"/>
  <c r="E102" i="16"/>
  <c r="AB101" i="16"/>
  <c r="F101" i="16" l="1"/>
  <c r="D102" i="16"/>
  <c r="AA101" i="16"/>
  <c r="E103" i="16"/>
  <c r="AB102" i="16"/>
  <c r="AC100" i="16"/>
  <c r="G100" i="16"/>
  <c r="AD100" i="16" s="1"/>
  <c r="AC101" i="16" l="1"/>
  <c r="G101" i="16"/>
  <c r="AD101" i="16" s="1"/>
  <c r="AB103" i="16"/>
  <c r="E104" i="16"/>
  <c r="AA102" i="16"/>
  <c r="D103" i="16"/>
  <c r="F102" i="16"/>
  <c r="F103" i="16" l="1"/>
  <c r="AA103" i="16"/>
  <c r="D104" i="16"/>
  <c r="AB104" i="16"/>
  <c r="E105" i="16"/>
  <c r="AC102" i="16"/>
  <c r="G102" i="16"/>
  <c r="AD102" i="16" s="1"/>
  <c r="E106" i="16" l="1"/>
  <c r="AB105" i="16"/>
  <c r="AC103" i="16"/>
  <c r="G103" i="16"/>
  <c r="AD103" i="16" s="1"/>
  <c r="F104" i="16"/>
  <c r="AA104" i="16"/>
  <c r="D105" i="16"/>
  <c r="D106" i="16" l="1"/>
  <c r="F105" i="16"/>
  <c r="AA105" i="16"/>
  <c r="E107" i="16"/>
  <c r="AB106" i="16"/>
  <c r="AC104" i="16"/>
  <c r="G104" i="16"/>
  <c r="AD104" i="16" s="1"/>
  <c r="AB107" i="16" l="1"/>
  <c r="E108" i="16"/>
  <c r="F106" i="16"/>
  <c r="D107" i="16"/>
  <c r="AA106" i="16"/>
  <c r="AC105" i="16"/>
  <c r="G105" i="16"/>
  <c r="AD105" i="16" s="1"/>
  <c r="AA107" i="16" l="1"/>
  <c r="F107" i="16"/>
  <c r="D108" i="16"/>
  <c r="AB108" i="16"/>
  <c r="E109" i="16"/>
  <c r="AC106" i="16"/>
  <c r="G106" i="16"/>
  <c r="AD106" i="16" s="1"/>
  <c r="AB109" i="16" l="1"/>
  <c r="E110" i="16"/>
  <c r="AC107" i="16"/>
  <c r="G107" i="16"/>
  <c r="AD107" i="16" s="1"/>
  <c r="AA108" i="16"/>
  <c r="F108" i="16"/>
  <c r="D109" i="16"/>
  <c r="D110" i="16" l="1"/>
  <c r="AA109" i="16"/>
  <c r="F109" i="16"/>
  <c r="E111" i="16"/>
  <c r="AB110" i="16"/>
  <c r="AC108" i="16"/>
  <c r="G108" i="16"/>
  <c r="AD108" i="16" s="1"/>
  <c r="AB111" i="16" l="1"/>
  <c r="E112" i="16"/>
  <c r="D111" i="16"/>
  <c r="F110" i="16"/>
  <c r="AA110" i="16"/>
  <c r="AC109" i="16"/>
  <c r="G109" i="16"/>
  <c r="AD109" i="16" s="1"/>
  <c r="AC110" i="16" l="1"/>
  <c r="G110" i="16"/>
  <c r="AD110" i="16" s="1"/>
  <c r="AB112" i="16"/>
  <c r="E113" i="16"/>
  <c r="F111" i="16"/>
  <c r="AA111" i="16"/>
  <c r="D112" i="16"/>
  <c r="AC111" i="16" l="1"/>
  <c r="AE111" i="16" s="1"/>
  <c r="H111" i="16"/>
  <c r="G111" i="16"/>
  <c r="AD111" i="16" s="1"/>
  <c r="AA112" i="16"/>
  <c r="D113" i="16"/>
  <c r="F112" i="16"/>
  <c r="AB113" i="16"/>
  <c r="E114" i="16"/>
  <c r="E115" i="16" l="1"/>
  <c r="AB114" i="16"/>
  <c r="D114" i="16"/>
  <c r="AA113" i="16"/>
  <c r="F113" i="16"/>
  <c r="AC112" i="16"/>
  <c r="G112" i="16"/>
  <c r="AD112" i="16" s="1"/>
  <c r="AF111" i="16"/>
  <c r="J152" i="16"/>
  <c r="D152" i="16"/>
  <c r="M153" i="16" s="1"/>
  <c r="E116" i="16" l="1"/>
  <c r="AB115" i="16"/>
  <c r="AC113" i="16"/>
  <c r="G113" i="16"/>
  <c r="AD113" i="16" s="1"/>
  <c r="AA114" i="16"/>
  <c r="D115" i="16"/>
  <c r="F114" i="16"/>
  <c r="AC114" i="16" l="1"/>
  <c r="G114" i="16"/>
  <c r="AD114" i="16" s="1"/>
  <c r="AB116" i="16"/>
  <c r="E117" i="16"/>
  <c r="AA115" i="16"/>
  <c r="F115" i="16"/>
  <c r="D116" i="16"/>
  <c r="AB117" i="16" l="1"/>
  <c r="E118" i="16"/>
  <c r="AC115" i="16"/>
  <c r="G115" i="16"/>
  <c r="AD115" i="16" s="1"/>
  <c r="AA116" i="16"/>
  <c r="F116" i="16"/>
  <c r="D117" i="16"/>
  <c r="AC116" i="16" l="1"/>
  <c r="G116" i="16"/>
  <c r="AD116" i="16" s="1"/>
  <c r="AB118" i="16"/>
  <c r="E119" i="16"/>
  <c r="AA117" i="16"/>
  <c r="F117" i="16"/>
  <c r="D118" i="16"/>
  <c r="F118" i="16" l="1"/>
  <c r="AA118" i="16"/>
  <c r="D119" i="16"/>
  <c r="E120" i="16"/>
  <c r="AB119" i="16"/>
  <c r="AC117" i="16"/>
  <c r="G117" i="16"/>
  <c r="AD117" i="16" s="1"/>
  <c r="AC118" i="16" l="1"/>
  <c r="G118" i="16"/>
  <c r="AD118" i="16" s="1"/>
  <c r="AA119" i="16"/>
  <c r="F119" i="16"/>
  <c r="D120" i="16"/>
  <c r="E121" i="16"/>
  <c r="AB120" i="16"/>
  <c r="AC119" i="16" l="1"/>
  <c r="G119" i="16"/>
  <c r="AD119" i="16" s="1"/>
  <c r="D121" i="16"/>
  <c r="AA120" i="16"/>
  <c r="F120" i="16"/>
  <c r="AB121" i="16"/>
  <c r="E122" i="16"/>
  <c r="E123" i="16" s="1"/>
  <c r="AB123" i="16" s="1"/>
  <c r="AC120" i="16" l="1"/>
  <c r="G120" i="16"/>
  <c r="AD120" i="16" s="1"/>
  <c r="F121" i="16"/>
  <c r="AA121" i="16"/>
  <c r="D122" i="16"/>
  <c r="D123" i="16" s="1"/>
  <c r="AB122" i="16"/>
  <c r="AB148" i="16" s="1"/>
  <c r="E148" i="16"/>
  <c r="F123" i="16" l="1"/>
  <c r="AA123" i="16"/>
  <c r="AA122" i="16"/>
  <c r="F122" i="16"/>
  <c r="AC121" i="16"/>
  <c r="G121" i="16"/>
  <c r="AD121" i="16" s="1"/>
  <c r="G123" i="16" l="1"/>
  <c r="AD123" i="16" s="1"/>
  <c r="AC123" i="16"/>
  <c r="AC122" i="16"/>
  <c r="F148" i="16"/>
  <c r="H123" i="16"/>
  <c r="G122" i="16"/>
  <c r="AC148" i="16" l="1"/>
  <c r="AE123" i="16"/>
  <c r="AE148" i="16" s="1"/>
  <c r="AF123" i="16"/>
  <c r="AF148" i="16" s="1"/>
  <c r="K152" i="16"/>
  <c r="V153" i="16" s="1"/>
  <c r="H148" i="16"/>
  <c r="AD122" i="16"/>
  <c r="AD148" i="16" s="1"/>
  <c r="G148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Игорь</author>
  </authors>
  <commentList>
    <comment ref="D2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ввод в эксплуатацию 1.10.2017
</t>
        </r>
      </text>
    </comment>
  </commentList>
</comments>
</file>

<file path=xl/sharedStrings.xml><?xml version="1.0" encoding="utf-8"?>
<sst xmlns="http://schemas.openxmlformats.org/spreadsheetml/2006/main" count="8611" uniqueCount="918">
  <si>
    <t>итого</t>
  </si>
  <si>
    <t>№ п/п</t>
  </si>
  <si>
    <t>1</t>
  </si>
  <si>
    <t>Гкал</t>
  </si>
  <si>
    <t>-</t>
  </si>
  <si>
    <t>4.1</t>
  </si>
  <si>
    <t>4.2</t>
  </si>
  <si>
    <t>4.3</t>
  </si>
  <si>
    <t>5.1</t>
  </si>
  <si>
    <t>5.2</t>
  </si>
  <si>
    <t>5.3</t>
  </si>
  <si>
    <t>5.4</t>
  </si>
  <si>
    <t>6.1</t>
  </si>
  <si>
    <t>%</t>
  </si>
  <si>
    <t>6.2</t>
  </si>
  <si>
    <t>6.3</t>
  </si>
  <si>
    <t>6.4</t>
  </si>
  <si>
    <t>7.1</t>
  </si>
  <si>
    <t>7.2</t>
  </si>
  <si>
    <t>7.3</t>
  </si>
  <si>
    <t>7.4</t>
  </si>
  <si>
    <t>№
п/п</t>
  </si>
  <si>
    <t>Единицы измерения</t>
  </si>
  <si>
    <t>Всего:</t>
  </si>
  <si>
    <t>в том числе:</t>
  </si>
  <si>
    <t>1.1</t>
  </si>
  <si>
    <t>2.1</t>
  </si>
  <si>
    <t>Наименование показателя</t>
  </si>
  <si>
    <t>Ед. изм.</t>
  </si>
  <si>
    <t>1.</t>
  </si>
  <si>
    <t>2.1.1</t>
  </si>
  <si>
    <t>2.1.2</t>
  </si>
  <si>
    <t>Инвестиционная программа</t>
  </si>
  <si>
    <t>Паспорт инвестиционной программы организации, осуществляющей</t>
  </si>
  <si>
    <t>регулируемые виды деятельности в сфере теплоснабжения</t>
  </si>
  <si>
    <t xml:space="preserve"> (наименование регулируемой организации)</t>
  </si>
  <si>
    <t>Наименование регулируемой организации, в отношении которой разрабатывается инвестиционная программа в сфере теплоснабжения</t>
  </si>
  <si>
    <t>Местонахождение регулируемой организации</t>
  </si>
  <si>
    <t>Сроки реализации инвестиционной программы</t>
  </si>
  <si>
    <t>Лицо, ответственное за разработку инвестиционной программы</t>
  </si>
  <si>
    <t>Контакты ответственных за разработку инвестиционной программы лиц</t>
  </si>
  <si>
    <t>Наименование исполнительного органа субъекта Российской Федерации или органа местного самоуправления, утвердившего инвестиционную программу</t>
  </si>
  <si>
    <t>Департамент энергетики и тарифов Ивановской области</t>
  </si>
  <si>
    <t>Местонахождение исполнительного органа субъекта Российской Федерации или органа местного самоуправления, утвердившего инвестиционную программу</t>
  </si>
  <si>
    <t>153022, г. Иваново ул. Велижская, 8</t>
  </si>
  <si>
    <t>Должностное лицо уполномоченного ответственного органа, утвердившее инвестиционную программу</t>
  </si>
  <si>
    <t>Контакты ответственных за утверждение инвестиционной программы лиц</t>
  </si>
  <si>
    <t>Тел./факс: (4932) 93-85-93</t>
  </si>
  <si>
    <t>Наименование органа местного самоуправления, согласовавшего инвестиционную программу</t>
  </si>
  <si>
    <t>Местонахождение органа местного самоуправления, согласовавшего инвестиционную программу</t>
  </si>
  <si>
    <t>Должностное лицо уполномоченного ответственного органа, согласовавшее инвестиционную программу</t>
  </si>
  <si>
    <t>Контакты ответственных за согласование инвестиционной программы лиц</t>
  </si>
  <si>
    <t>М.П.</t>
  </si>
  <si>
    <t>N п/п</t>
  </si>
  <si>
    <t>Наименование мероприятий</t>
  </si>
  <si>
    <t>Кадастровый номер объекта (участка объекта)</t>
  </si>
  <si>
    <t>Вид объекта</t>
  </si>
  <si>
    <t>Описание и место расположения объекта</t>
  </si>
  <si>
    <t>Основные технические характеристики</t>
  </si>
  <si>
    <t>Год начала реализации</t>
  </si>
  <si>
    <t>Год окончания реализации</t>
  </si>
  <si>
    <t>Наименование и значение показателя</t>
  </si>
  <si>
    <t>Плановые расходы</t>
  </si>
  <si>
    <t>Финансирование, в т.ч. по годам</t>
  </si>
  <si>
    <t>Остаток финансирования</t>
  </si>
  <si>
    <t>Амортизация (стр. 1.1 ФП)</t>
  </si>
  <si>
    <t>Прибыль, направленная на инвестиции (стр. 1.2 ФП)</t>
  </si>
  <si>
    <t>Средства, полученные за счет платы за подключение (стр. 1.3 ФП)</t>
  </si>
  <si>
    <t>Прочие собственные средства (стр. 1.4 ФП)</t>
  </si>
  <si>
    <t>Экономия расходов (стр. 1.5 ФП)</t>
  </si>
  <si>
    <t>Расходы на оплату лизинговых платежей по договору финансовой аренды (лизинга) (стр. 1.6 ФП)</t>
  </si>
  <si>
    <t>Иные собственные средства (стр. 2 ФП)</t>
  </si>
  <si>
    <t>Бюджетные средства по каждой системе централизованного теплоснабжения с выделением расходов концедента на строительство, модернизацию и (или) реконструкцию объекта концессионного соглашения по каждой системе централизованного теплоснабжения при наличии таких расходов (стр. 4 ФП)</t>
  </si>
  <si>
    <t>Прочие источники финансирования (стр. 5 ФП)</t>
  </si>
  <si>
    <t>до реализации мероприятия</t>
  </si>
  <si>
    <t>после реализации мероприятия</t>
  </si>
  <si>
    <t>Тепловая сеть</t>
  </si>
  <si>
    <t>Тепловая нагрузка, Гкал/ч</t>
  </si>
  <si>
    <t>в результате реализации мероприятий инвестиционной программы</t>
  </si>
  <si>
    <t>связанную с сокращением потерь в тепловых сетях, сменой видов и (или) марки основного и (или) резервного топлива на источниках тепловой энергии, реализацией энергосервисного договора (контракта) в размере, определенном по решению регулируемой организации, плату за подключение (технологическое присоединение) к системам централизованного теплоснабжения (раздельно по каждой системе, если регулируемая организация эксплуатирует несколько таких систем</t>
  </si>
  <si>
    <t>Условный диаметр, мм</t>
  </si>
  <si>
    <t>Пропускная способность, т/ч</t>
  </si>
  <si>
    <t>Протяженность (в однотрубном исчислении), км</t>
  </si>
  <si>
    <t>Способ прокладки</t>
  </si>
  <si>
    <t>ПИР</t>
  </si>
  <si>
    <t>СМР</t>
  </si>
  <si>
    <t>6.5</t>
  </si>
  <si>
    <t>7.5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</si>
  <si>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</si>
  <si>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</si>
  <si>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</si>
  <si>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</si>
  <si>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</si>
  <si>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</si>
  <si>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</si>
  <si>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</si>
  <si>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</si>
  <si>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</si>
  <si>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</si>
  <si>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</si>
  <si>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11.1</t>
  </si>
  <si>
    <t>11.2</t>
  </si>
  <si>
    <t>11.3</t>
  </si>
  <si>
    <t>11.4</t>
  </si>
  <si>
    <t>11.5.1</t>
  </si>
  <si>
    <t>11.5.2</t>
  </si>
  <si>
    <t>11.6</t>
  </si>
  <si>
    <t>11.7</t>
  </si>
  <si>
    <t>11.8</t>
  </si>
  <si>
    <t>11.9</t>
  </si>
  <si>
    <t>11.10</t>
  </si>
  <si>
    <t>Группа 1. Строительство, реконструкция или модернизация объектов в целях подключения потребителей:</t>
  </si>
  <si>
    <t>1.1. Строительство новых тепловых сетей в целях подключения потребителей</t>
  </si>
  <si>
    <t>1.1.1</t>
  </si>
  <si>
    <t>1.1.2</t>
  </si>
  <si>
    <t>1.2. Строительство иных объектов системы централизованного теплоснабжения, за исключением тепловых сетей, в целях подключения потребителей</t>
  </si>
  <si>
    <t>1.2.1</t>
  </si>
  <si>
    <t>1.2.2</t>
  </si>
  <si>
    <t>1.3. Увеличение пропускной способности существующих тепловых сетей в целях подключения потребителей</t>
  </si>
  <si>
    <t>1.3.1</t>
  </si>
  <si>
    <t>1.3.2</t>
  </si>
  <si>
    <t>1.4. Увеличение мощности и производительности существующих объектов централизованного теплоснабжения, за исключением тепловых сетей, в целях подключения потребителей</t>
  </si>
  <si>
    <t>1.4.1</t>
  </si>
  <si>
    <t>1.4.2</t>
  </si>
  <si>
    <t>Всего по группе 1</t>
  </si>
  <si>
    <t>Группа 2. Строительство новых объектов системы централизованного теплоснабжения, не связанных с подключением новых потребителей, в том числе строительство новых тепловых сетей</t>
  </si>
  <si>
    <t>2.2</t>
  </si>
  <si>
    <t>Всего по группе 2</t>
  </si>
  <si>
    <t>Группа 3. Реконструкция или модернизация существующих объектов централизованного теплоснабжения в целях снижения уровня износа существующих объектов системы централизованного теплоснабжения и (или) поставки энергии от разных источников</t>
  </si>
  <si>
    <t>3.1. Реконструкция или модернизация существующих тепловых сетей</t>
  </si>
  <si>
    <t>3.1.1</t>
  </si>
  <si>
    <t>3.1.2</t>
  </si>
  <si>
    <t>3.2. Реконструкция или модернизация существующих объектов системы централизованного теплоснабжения, за исключением тепловых сетей</t>
  </si>
  <si>
    <t>3.2.1</t>
  </si>
  <si>
    <t>Всего по группе 3</t>
  </si>
  <si>
    <t>Группа 4. Мероприятия, направленные на снижение негативного воздействия на окружающую среду, достижение плановых значений показателей надежности и энергетической эффективности объектов теплоснабжения, повышение эффективности работы систем централизованного теплоснабжения</t>
  </si>
  <si>
    <t>Всего по группе 4</t>
  </si>
  <si>
    <t>Группа 5. Вывод из эксплуатации, консервация и демонтаж объектов системы централизованного теплоснабжения</t>
  </si>
  <si>
    <t>5.1. Вывод из эксплуатации, консервация и демонтаж тепловых сетей</t>
  </si>
  <si>
    <t>5.1.1</t>
  </si>
  <si>
    <t>5.1.2</t>
  </si>
  <si>
    <t>5.2. Вывод из эксплуатации, консервация и демонтаж иных объектов системы централизованного теплоснабжения, за исключением тепловых сетей</t>
  </si>
  <si>
    <t>5.2.1</t>
  </si>
  <si>
    <t>5.2.2</t>
  </si>
  <si>
    <t>Всего по группе 5</t>
  </si>
  <si>
    <t>Группа 6. Мероприятия, предусматривающие капитальные вложения в объекты основных средств и нематериальные активы регулируемой организации, обусловленные необходимостью соблюдения регулируемыми организациями обязательных требований, установленных законодательством Российской Федерации и связанных с осуществлением деятельности в сфере теплоснабжения, включая мероприятия по обеспечению безопасности и антитеррористической защищенности объектов топливно-энергетического комплекса, безопасности критической информационной инфраструктуры.</t>
  </si>
  <si>
    <t>6.1.1</t>
  </si>
  <si>
    <t>6.1.2</t>
  </si>
  <si>
    <t>Всего по группе 6</t>
  </si>
  <si>
    <t>ИТОГО по программе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</si>
  <si>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</si>
  <si>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</si>
  <si>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</si>
  <si>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</si>
  <si>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</si>
  <si>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</si>
  <si>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</si>
  <si>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</si>
  <si>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</si>
  <si>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</si>
  <si>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 xml:space="preserve">Директор ООО «КЭС– Верхняя Волга» ___________ /Маринин Д.А.                                      </t>
  </si>
  <si>
    <t>Плановые значения показателей, достижение которых предусмотрено в результате реализации мероприятий инвестиционной программы</t>
  </si>
  <si>
    <t>(наименование регулируемой организации)</t>
  </si>
  <si>
    <t>Фактические значения</t>
  </si>
  <si>
    <t>Утвержденное значение на 2023 год</t>
  </si>
  <si>
    <t>Плановые значения</t>
  </si>
  <si>
    <t>в т.ч. по годам реализации</t>
  </si>
  <si>
    <t>Удельный расход электрической энергии на транспортировку теплоносителя</t>
  </si>
  <si>
    <t>кВт·ч/м3</t>
  </si>
  <si>
    <t>Удельный расход условного топлива на выработку единицы тепловой энергии и (или) теплоносителя</t>
  </si>
  <si>
    <t>т.у.т./Гкал</t>
  </si>
  <si>
    <t>т.у.т./м3</t>
  </si>
  <si>
    <t>Объем присоединяемой тепловой нагрузки новых потребителей</t>
  </si>
  <si>
    <t>Гкал/ч</t>
  </si>
  <si>
    <t>Процент износа объектов системы теплоснабжения с выделением процента износа объектов, существующих на начало реализации инвестиционной программы</t>
  </si>
  <si>
    <t>Гкал в год</t>
  </si>
  <si>
    <t>% от полезного отпуска тепловой энергии</t>
  </si>
  <si>
    <t>тонн в год для воды</t>
  </si>
  <si>
    <t>куб. м для пара</t>
  </si>
  <si>
    <t>Производство тепловой энергии</t>
  </si>
  <si>
    <t>2.</t>
  </si>
  <si>
    <t>3.</t>
  </si>
  <si>
    <t>3.1.</t>
  </si>
  <si>
    <t>3.2.</t>
  </si>
  <si>
    <t>3.3.</t>
  </si>
  <si>
    <t>4.</t>
  </si>
  <si>
    <t>5.</t>
  </si>
  <si>
    <t>Направление показателя</t>
  </si>
  <si>
    <t>Отпуск тепловой энергии в сеть</t>
  </si>
  <si>
    <t>Потери при передаче тепловой энергии</t>
  </si>
  <si>
    <t>Доля потерь при передаче тепловой энергии</t>
  </si>
  <si>
    <t>Отпуск тепловой энергии из сети</t>
  </si>
  <si>
    <t xml:space="preserve">Показатели надежности и энергетической эффективности объектов централизованного теплоснабжения </t>
  </si>
  <si>
    <t>Наименование объекта</t>
  </si>
  <si>
    <t>Количество прекращений подачи тепловой энергии, теплоносителя в результате технологических нарушений на тепловых сетях на 1 км тепловых сетей</t>
  </si>
  <si>
    <t>Текущее значение</t>
  </si>
  <si>
    <t>Плановое значение</t>
  </si>
  <si>
    <t>Источники финансирования</t>
  </si>
  <si>
    <t>Всего</t>
  </si>
  <si>
    <t>Собственные средства</t>
  </si>
  <si>
    <t>амортизационные отчисления с выделением результатов переоценки основных средств и нематериальных активов</t>
  </si>
  <si>
    <t>расходы на капитальные вложения (инвестиции), финансируемые за счет нормативной прибыли, учитываемой в необходимой валовой выручке</t>
  </si>
  <si>
    <t>достигнутая в результате реализации мероприятий инвестиционной программы</t>
  </si>
  <si>
    <t>плата за подключение (технологическое присоединение) к системам централизованного теплоснабжения (раздельно по каждой системе, если регулируемая организация эксплуатирует несколько таких систем)</t>
  </si>
  <si>
    <t>расходы на уплату лизинговых платежей по договору финансовой аренды (лизинга)</t>
  </si>
  <si>
    <t>Иные собственные средства, за исключением средств, указанных в разделе 1</t>
  </si>
  <si>
    <t>Средства, привлеченные на возвратной основе</t>
  </si>
  <si>
    <t>кредиты</t>
  </si>
  <si>
    <t>прочие привлеченные средства</t>
  </si>
  <si>
    <t>Прочие источники финансирования</t>
  </si>
  <si>
    <t>Источники возврата вложенных средств</t>
  </si>
  <si>
    <t>Стоимость, тыс.руб.</t>
  </si>
  <si>
    <t>7-10 лет 5 группа</t>
  </si>
  <si>
    <t xml:space="preserve">Реконструкция крыши здания котельной </t>
  </si>
  <si>
    <t>Норма амортизации, %</t>
  </si>
  <si>
    <t>Балансовая стоимость ОС на начало периода</t>
  </si>
  <si>
    <t>В т. ч. балансовая стоимость объектов инвестирования на начало периода</t>
  </si>
  <si>
    <t>Начисленная амортизация ОС</t>
  </si>
  <si>
    <t>В т. ч. начисленная амортизация по объектам инвестирования</t>
  </si>
  <si>
    <t>Балансовая стоимость ОС на конец периода</t>
  </si>
  <si>
    <t>В т. ч. балансовая стоимость объектов инвестирования на конец периода</t>
  </si>
  <si>
    <t>Показатель</t>
  </si>
  <si>
    <t>Балансовая стоимость объектов инвестирования на начало периода, тыс.руб. (без НДС)</t>
  </si>
  <si>
    <t>Начисленная амортизация по объектам инвестирования 5 амортизационной группы (СПИ 8 лет), тыс.руб. (без НДС)</t>
  </si>
  <si>
    <t>Балансовая стоимость объектов инвестирования на конец периода, тыс.руб. (без НДС)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</si>
  <si>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</si>
  <si>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</si>
  <si>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</si>
  <si>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</si>
  <si>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</si>
  <si>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</si>
  <si>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</si>
  <si>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</si>
  <si>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</si>
  <si>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</si>
  <si>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</si>
  <si>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</si>
  <si>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Привлеченные средства на возвратной основе (стр 3 ФП)</t>
  </si>
  <si>
    <t>Финансовый план инвестиционной программы в сфере теплоснабжения</t>
  </si>
  <si>
    <t>По мероприятиям, согласно Формы № 2-ИП ТС</t>
  </si>
  <si>
    <t>в т.ч. по видам деятельности</t>
  </si>
  <si>
    <t>Передача тепловой энергии</t>
  </si>
  <si>
    <t>1.1.</t>
  </si>
  <si>
    <t>1.2.</t>
  </si>
  <si>
    <t>1.3.</t>
  </si>
  <si>
    <t>Экономия расходов</t>
  </si>
  <si>
    <t>1.3.1.</t>
  </si>
  <si>
    <t>1.3.2.</t>
  </si>
  <si>
    <t>связанная с сокращением потерь в тепловых сетях, сменой видов и (или) марки основного и (или) резервного топлива на источниках тепловой энергии, реализацией энергосервесного договора (контракта) в размере, определенном по решению регулируемой организации</t>
  </si>
  <si>
    <t>1.4.</t>
  </si>
  <si>
    <t>1.5.</t>
  </si>
  <si>
    <t>займы организаций, в т.ч.</t>
  </si>
  <si>
    <t>Бюджетные средства по каждой системе ццентрализованного теплоснабжения с выделением расходов концедента на строительство, модернизацию и (или) реконструкцию объекта концессионного соглашения по каждой системе централизованного теплоснабжения при наличии таких расходов</t>
  </si>
  <si>
    <t>амортизационные отчисления, в том числе:</t>
  </si>
  <si>
    <t>средства, полученные за счет платы за подключение</t>
  </si>
  <si>
    <t>прочие собственные средства, в т.ч. средства от эмиссии ценных бумаг</t>
  </si>
  <si>
    <t>Бюджетное финансирование</t>
  </si>
  <si>
    <t>Средства концедента</t>
  </si>
  <si>
    <t>прибыль, направленная на инвестиции</t>
  </si>
  <si>
    <t>Расходы на реализацию инвестиционной программы (тыс. руб., НДС не облагается) (с использованием прогнозных индексов цен)</t>
  </si>
  <si>
    <t>январь 2033</t>
  </si>
  <si>
    <t>январь 2034</t>
  </si>
  <si>
    <t>февраль 2034</t>
  </si>
  <si>
    <t>январь 2035</t>
  </si>
  <si>
    <t>Общество с ограниченной ответственностью «Коммунальные энергетические системы – Верхняя Волга»</t>
  </si>
  <si>
    <t>155210, Ивановская обл., п. Верхний Ландех, ул. Западная, д. 30</t>
  </si>
  <si>
    <t>Директор ООО «КЭС – Верхняя Волга» Маринин Дмитрий Александрович</t>
  </si>
  <si>
    <t>Тел./факс: 8 (4932) 93-88-63</t>
  </si>
  <si>
    <t>Член Правительства Ивановской области – директор Департамента энергетики и тарифов Ивановской области Морева Е.Н.</t>
  </si>
  <si>
    <t>Администрация Верхнеландеховского муниципального района Ивановской области</t>
  </si>
  <si>
    <t>155210, Ивановская область, п. Верхний Ландех, ул. Первомайская, д. 3</t>
  </si>
  <si>
    <t>Смирнова Н.Н., Глава Верхнеландеховского муниципального района Ивановской области</t>
  </si>
  <si>
    <t>Тел./факс: 8 (49349) 2-12-04</t>
  </si>
  <si>
    <t>Показатели, характеризующие снижение негативного воздействия на окружающую среду, определяемые в соответствии с законодательством РФ об охране окружающей среды:</t>
  </si>
  <si>
    <t>7.1.</t>
  </si>
  <si>
    <t>Содержание в уходящих газах СО</t>
  </si>
  <si>
    <t>7.2.</t>
  </si>
  <si>
    <t>7.3.</t>
  </si>
  <si>
    <t>Содержание в уходящих газах NOx</t>
  </si>
  <si>
    <r>
      <t>Содержание в уходящих газах СО</t>
    </r>
    <r>
      <rPr>
        <vertAlign val="subscript"/>
        <sz val="10"/>
        <rFont val="Times New Roman"/>
        <family val="1"/>
        <charset val="204"/>
      </rPr>
      <t>2</t>
    </r>
  </si>
  <si>
    <t>в соответствии с законодательством РФ об охране окружающей среды</t>
  </si>
  <si>
    <t>Показатели надежности</t>
  </si>
  <si>
    <t>Показатели энергетической эффективности</t>
  </si>
  <si>
    <t>Количество прекращений подачи тепловой энергии, теплоносителя в результате технологических нарушений на источниках тепловой энергии на 1 Гкал/час установленной мощности</t>
  </si>
  <si>
    <t>Удельный расход топлива на производство единицы тепловой энергии, отпускаемой с коллекторов источников тепловой энергии, 
кг у.т./Гкал</t>
  </si>
  <si>
    <t>Величина технологических потерь при передаче тепловой энергии, теплоносителя по тепловым сетям, 
Гкал</t>
  </si>
  <si>
    <t>2.1.</t>
  </si>
  <si>
    <t>2.1.3</t>
  </si>
  <si>
    <t>2.1.4</t>
  </si>
  <si>
    <t>2.1.5</t>
  </si>
  <si>
    <t>2.1.6</t>
  </si>
  <si>
    <t>2.1.7</t>
  </si>
  <si>
    <t>2.1.8</t>
  </si>
  <si>
    <t>2.1.9</t>
  </si>
  <si>
    <t>тонн в год</t>
  </si>
  <si>
    <t>Начальный узел</t>
  </si>
  <si>
    <t>Конечный узел</t>
  </si>
  <si>
    <t>Тип прокладки</t>
  </si>
  <si>
    <t>Дата ввода</t>
  </si>
  <si>
    <t>Длина, м</t>
  </si>
  <si>
    <t>Диаметр наружный., мм</t>
  </si>
  <si>
    <t>У-1</t>
  </si>
  <si>
    <t>У-2</t>
  </si>
  <si>
    <t>Надземная</t>
  </si>
  <si>
    <t>До 1989 г.</t>
  </si>
  <si>
    <t>У-3</t>
  </si>
  <si>
    <t>У-4</t>
  </si>
  <si>
    <t>У-5</t>
  </si>
  <si>
    <t>У-12</t>
  </si>
  <si>
    <t>У-13</t>
  </si>
  <si>
    <t>У-14</t>
  </si>
  <si>
    <t>Восточная ул.,д.1а (д/с)</t>
  </si>
  <si>
    <t>У-6(ТК-3)</t>
  </si>
  <si>
    <t>У-8</t>
  </si>
  <si>
    <t>У-9</t>
  </si>
  <si>
    <t>У-10</t>
  </si>
  <si>
    <t>У-11</t>
  </si>
  <si>
    <t>Новая ул.,д.3</t>
  </si>
  <si>
    <t>У-15</t>
  </si>
  <si>
    <t>Восточная ул.,д.1</t>
  </si>
  <si>
    <t>У-16</t>
  </si>
  <si>
    <t>У-17</t>
  </si>
  <si>
    <t>У-18</t>
  </si>
  <si>
    <t>У-19</t>
  </si>
  <si>
    <t>Восточная ул.,д.2а</t>
  </si>
  <si>
    <t>Комсомольская ул.,д.19</t>
  </si>
  <si>
    <t>У-20</t>
  </si>
  <si>
    <t>У-21</t>
  </si>
  <si>
    <t>У-22</t>
  </si>
  <si>
    <t>Комсомольская ул.,д.15</t>
  </si>
  <si>
    <t>У-23</t>
  </si>
  <si>
    <t>У-24</t>
  </si>
  <si>
    <t>ТК-4</t>
  </si>
  <si>
    <t>У-25</t>
  </si>
  <si>
    <t>Комсомольская ул.,д.13</t>
  </si>
  <si>
    <t>У-26</t>
  </si>
  <si>
    <t>Комсомольская ул.,д.11(библиот</t>
  </si>
  <si>
    <t>У-27</t>
  </si>
  <si>
    <t>Комсомольская ул.,д.11а(гаражи</t>
  </si>
  <si>
    <t>Комсомольская ул.,д.11а(полици</t>
  </si>
  <si>
    <t>У-29</t>
  </si>
  <si>
    <t>Комсомольская ул.,д.14</t>
  </si>
  <si>
    <t>ТК-5</t>
  </si>
  <si>
    <t>У-30</t>
  </si>
  <si>
    <t>У-31</t>
  </si>
  <si>
    <t>У-31А</t>
  </si>
  <si>
    <t>У-33</t>
  </si>
  <si>
    <t>Рабочая ул.,д.4</t>
  </si>
  <si>
    <t>У-32</t>
  </si>
  <si>
    <t>У-34</t>
  </si>
  <si>
    <t>ТК-7</t>
  </si>
  <si>
    <t>ТК-8</t>
  </si>
  <si>
    <t>ТК-1</t>
  </si>
  <si>
    <t>подземная канальная</t>
  </si>
  <si>
    <t>ТК-2</t>
  </si>
  <si>
    <t>Малыгина ул.,д.20</t>
  </si>
  <si>
    <t>Новая ул.,д.2</t>
  </si>
  <si>
    <t>Комсомольская ул.,д.17</t>
  </si>
  <si>
    <t>У-28</t>
  </si>
  <si>
    <t>Комсомольская ул.,д.16</t>
  </si>
  <si>
    <t>ТК-6</t>
  </si>
  <si>
    <t>Рабочая ул.,д.3</t>
  </si>
  <si>
    <t>Рабочая ул.,д.5</t>
  </si>
  <si>
    <t>Рабочая ул.,д.6</t>
  </si>
  <si>
    <t>Рабочая ул.,д.9</t>
  </si>
  <si>
    <t>Комсомольская ул.,д.6</t>
  </si>
  <si>
    <t>Котельная №1 В.Ландех</t>
  </si>
  <si>
    <t>с 2004</t>
  </si>
  <si>
    <t>У-7</t>
  </si>
  <si>
    <t>Новая ул.,д.1</t>
  </si>
  <si>
    <t>Комсомольская ул.,д.12</t>
  </si>
  <si>
    <t>Рабочая ул.,д.7</t>
  </si>
  <si>
    <t>ИТОГО:</t>
  </si>
  <si>
    <t>Котельная 1</t>
  </si>
  <si>
    <t>У-1Б</t>
  </si>
  <si>
    <t>с 2004г.</t>
  </si>
  <si>
    <t>Котельная №2 В.Ландех</t>
  </si>
  <si>
    <t>У-1А</t>
  </si>
  <si>
    <t>до 1989г.</t>
  </si>
  <si>
    <t>ТК-3</t>
  </si>
  <si>
    <t>Октябрьская ул.,д.27</t>
  </si>
  <si>
    <t>Октябрьская ул.,д.31</t>
  </si>
  <si>
    <t>котельная 2</t>
  </si>
  <si>
    <t>котельная №3 ВЛ</t>
  </si>
  <si>
    <t>Подземная бесканальная</t>
  </si>
  <si>
    <t>У-0</t>
  </si>
  <si>
    <t>ТК-10</t>
  </si>
  <si>
    <t>Подземная канальная</t>
  </si>
  <si>
    <t>Строителей ул.,д.10</t>
  </si>
  <si>
    <t>ТК-11</t>
  </si>
  <si>
    <t>ТК-12</t>
  </si>
  <si>
    <t>Строителей ул.,д.16</t>
  </si>
  <si>
    <t>Строителей ул.,д.15</t>
  </si>
  <si>
    <t>Строителей ул.,д.14</t>
  </si>
  <si>
    <t>Строителей ул.,д.13</t>
  </si>
  <si>
    <t>Строителей ул.,д.12</t>
  </si>
  <si>
    <t>ТК-9</t>
  </si>
  <si>
    <t>Строителей ул.,д.7</t>
  </si>
  <si>
    <t>У-6</t>
  </si>
  <si>
    <t>ТК-13</t>
  </si>
  <si>
    <t>Строителей ул.,д.18</t>
  </si>
  <si>
    <t>Строителей ул.,д.19</t>
  </si>
  <si>
    <t>Строителей ул.,д.17</t>
  </si>
  <si>
    <t>У-10А</t>
  </si>
  <si>
    <t>ТК-14</t>
  </si>
  <si>
    <t>Строителей ул.,д.20</t>
  </si>
  <si>
    <t>ТК-15</t>
  </si>
  <si>
    <t>Строителей ул.,д.22</t>
  </si>
  <si>
    <t>Строителей ул.,д.21</t>
  </si>
  <si>
    <t>Надземный</t>
  </si>
  <si>
    <t>Строителей ул.,д.8</t>
  </si>
  <si>
    <t>Котельная №4 В.Ландех</t>
  </si>
  <si>
    <t>Школьный пер.,д.1 (гараж)</t>
  </si>
  <si>
    <t>Школьный пер.,д.3</t>
  </si>
  <si>
    <t>котельная 4</t>
  </si>
  <si>
    <t>котельная 3</t>
  </si>
  <si>
    <t>Материальные характеристика тепловых сетей, тыс. м2</t>
  </si>
  <si>
    <t>Технологические потери и затраты тепловой энергии, Гкал</t>
  </si>
  <si>
    <t>Технологические потери и затраты теплоносителя, м3</t>
  </si>
  <si>
    <t>теплотрасса котельной № 1 п. Верхний Ландех</t>
  </si>
  <si>
    <t>теплотрасса котельной № 2 п. Верхний Ландех</t>
  </si>
  <si>
    <t>теплотрасса котельной № 3 п. Верхний Ландех</t>
  </si>
  <si>
    <t>теплотрасса котельной № 4 п. Верхний Ландех</t>
  </si>
  <si>
    <t>До модернизации (начальный период инвестиционной программы) Котельная 1</t>
  </si>
  <si>
    <t>После модернизации (конечный период инвестиционной программы) БМК 1</t>
  </si>
  <si>
    <t>До модернизации (начальный период инвестиционной программы) Котельная 2</t>
  </si>
  <si>
    <t>После модернизации (конечный период инвестиционной программы) БМК 2</t>
  </si>
  <si>
    <t>До модернизации (начальный период инвестиционной программы) Котельная 3</t>
  </si>
  <si>
    <t>После модернизации (конечный период инвестиционной программы) БМК 3</t>
  </si>
  <si>
    <t>До модернизации (начальный период инвестиционной программы) Котельная 4</t>
  </si>
  <si>
    <t>После модернизации (конечный период инвестиционной программы) БМК 4</t>
  </si>
  <si>
    <t>ООО «КЭС - Верхняя Волга» п. Верхний Ландех</t>
  </si>
  <si>
    <t>2024 - 2038 гг.</t>
  </si>
  <si>
    <t>в сфере теплоснабжения на 2024-2038 годы</t>
  </si>
  <si>
    <t>ООО «КЭС-Верхняя Волга» п. Верхний Ландех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</si>
  <si>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</si>
  <si>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</si>
  <si>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</si>
  <si>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</si>
  <si>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</si>
  <si>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</si>
  <si>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</si>
  <si>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</si>
  <si>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</si>
  <si>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</si>
  <si>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</si>
  <si>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</si>
  <si>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</si>
  <si>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</si>
  <si>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</si>
  <si>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</si>
  <si>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</si>
  <si>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</si>
  <si>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</si>
  <si>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</si>
  <si>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</si>
  <si>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</si>
  <si>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</si>
  <si>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</si>
  <si>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</si>
  <si>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</si>
  <si>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</si>
  <si>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</si>
  <si>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Строительство сетей газоснабжения в п. Верхний Ландех, в районе д. 1А по ул. Новая</t>
  </si>
  <si>
    <t>Строительство сетей водоснабжения в п. Верхний Ландех, в районе д. 1А по ул. Новая</t>
  </si>
  <si>
    <t xml:space="preserve"> Строительство сетей водоотведения в п. Верхний Ландех, в районе д. 1А по ул. Новая</t>
  </si>
  <si>
    <t xml:space="preserve"> Строительство электрических сетей в п. Верхний Ландех, в районе д. 1А по ул. Новая</t>
  </si>
  <si>
    <t xml:space="preserve"> Строительство надземного участка тепловых сетей от БМК 2,5МВт до У-1А D=159мм L=15м в 2-х трубном исчислении в п.Верхний Ландех, в районе д. 1А по ул. Новая</t>
  </si>
  <si>
    <t>Строительство БМК мощностью 2,5 МВт в п. Верхний Ландех, в районе д. 1А по ул. Новая</t>
  </si>
  <si>
    <t>Строительство тепловых сетей в п. Верхний Ландех, в районе ул. Строителей, д. 22,от БМК до У-10Б, L=50м, Ду150, надземная прокладка</t>
  </si>
  <si>
    <t>Строительство надземного участка тепловой сети от У-10Б до У-10, D=133мм, L=17м (в 2-х трубном исчислении) в п. Верхний Ландех, в районе ул. Строителей, д. 22</t>
  </si>
  <si>
    <t>Строительство надземного участка тепловой сети от У-10Б до У-10А, D=108 мм, L=22м (в 2-х трубном исчислении) в п. Верхний Ландех, в районе ул. Строителей, д. 22</t>
  </si>
  <si>
    <t>Строительство надземного участка тепловых сетей от БМК 0,4 МВт до У-1 D=89 мм, L=45м (в 2-х трубном исчислении) в п. Верхний Ландех в районе пер. Школьный,д. 2</t>
  </si>
  <si>
    <t>БМК</t>
  </si>
  <si>
    <t>сети газоснабжения</t>
  </si>
  <si>
    <t>ГРПШ</t>
  </si>
  <si>
    <t>сети водоснабжения</t>
  </si>
  <si>
    <t>сети водоотведения</t>
  </si>
  <si>
    <t>сети электроснабжения</t>
  </si>
  <si>
    <t>тепловые сети</t>
  </si>
  <si>
    <t>п. Верхний Ландех, в районе д. 1А по ул. Новая на земельном участке: 37:01:020304:23</t>
  </si>
  <si>
    <t>п. Верхний Ландех, в районе д. 1А по ул. Новая</t>
  </si>
  <si>
    <t>п. Верхний Ландех, в районе ул. Октябрьская, д. 37А на земельном участке: 37:01:000000:909</t>
  </si>
  <si>
    <t>п. Верхний Ландех, в районе ул. Октябрьская, д. 37А</t>
  </si>
  <si>
    <t>п. Верхний Ландех, в районе, ул. Октябрьская, д. 37А</t>
  </si>
  <si>
    <t>п. Верхний Ландех в районе ул. Октябрьская, д. 37А на земельном участке: 37:01:000000:909</t>
  </si>
  <si>
    <t>п. Верхний Ландех, в районе ул. Строителей, д. 22</t>
  </si>
  <si>
    <t>п. Верхний Ландех, в районе  ул. Строителей, д. 22</t>
  </si>
  <si>
    <t>п. Верхний Ландех, в районе ул. Строителей, д.  22</t>
  </si>
  <si>
    <t>п. Верхний Ландех, в районе пер. Школьный, д. 2 на земельном участке: 37:01:020102:15</t>
  </si>
  <si>
    <t>п. Верхний Ландех, в районе пер. Школьный, д. 2</t>
  </si>
  <si>
    <t>п. Верхний Ландех, в районе пер. Школьный, д 2</t>
  </si>
  <si>
    <t>37:01:020304:23</t>
  </si>
  <si>
    <t xml:space="preserve"> 37:01:020304:23</t>
  </si>
  <si>
    <t xml:space="preserve"> 37:01:000000:909</t>
  </si>
  <si>
    <t>37:01:000000:909</t>
  </si>
  <si>
    <t>37:01:020102:15</t>
  </si>
  <si>
    <t>надземный</t>
  </si>
  <si>
    <t>3.1.13</t>
  </si>
  <si>
    <t>3.1.14</t>
  </si>
  <si>
    <t>3.1.15</t>
  </si>
  <si>
    <t>3.1.16</t>
  </si>
  <si>
    <t>3.1.17</t>
  </si>
  <si>
    <t>3.1.18</t>
  </si>
  <si>
    <t>3.1.19</t>
  </si>
  <si>
    <t>3.1.20</t>
  </si>
  <si>
    <t>3.1.21</t>
  </si>
  <si>
    <t>3.1.22</t>
  </si>
  <si>
    <t>3.1.23</t>
  </si>
  <si>
    <t>3.1.24</t>
  </si>
  <si>
    <t>3.1.25</t>
  </si>
  <si>
    <t>3.1.26</t>
  </si>
  <si>
    <t>3.1.27</t>
  </si>
  <si>
    <t>3.1.28</t>
  </si>
  <si>
    <t>3.1.29</t>
  </si>
  <si>
    <t>3.1.30</t>
  </si>
  <si>
    <t>3.1.31</t>
  </si>
  <si>
    <t>3.1.32</t>
  </si>
  <si>
    <t>3.1.33</t>
  </si>
  <si>
    <t>3.1.34</t>
  </si>
  <si>
    <t>3.1.35</t>
  </si>
  <si>
    <t>3.1.36</t>
  </si>
  <si>
    <t>3.1.37</t>
  </si>
  <si>
    <t>3.1.38</t>
  </si>
  <si>
    <t>3.1.39</t>
  </si>
  <si>
    <t>3.1.40</t>
  </si>
  <si>
    <t>3.1.41</t>
  </si>
  <si>
    <t>3.1.42</t>
  </si>
  <si>
    <t>Реконструкция участка сети от ТК-6 до ул. Рабочая, д. 3, Дн25 мм длиной 5 м (прокладка подземная канальная) котельная № 1 п. Верхний Ландех</t>
  </si>
  <si>
    <t>Реконструкция участка сети от ТК-8 до ул. Рабочая, д. 9, Дн25 мм длиной 18,1 м (прокладка подземная канальная) котельная № 1 п.Верхний Ландех</t>
  </si>
  <si>
    <t>Реконструкция участка сети от ТК-7 до ТК-8, Дн32 мм длиной 21,4 м (надземная прокладка) котельная № 1 п. Верхний Ландех</t>
  </si>
  <si>
    <t>Реконструкция участка сети от ТК-5 до ул. Комсомольская, д. 6, Дн38 мм длиной 63,7 м (прокладка подземная канальная) котельная № 1 п. Верхний Ландех</t>
  </si>
  <si>
    <t>Реконструкция участка сети от У-30 до У-31, Дн45 мм длиной 6,2 м (надземная прокладка) котельная № 1 п. Верхний Ландех</t>
  </si>
  <si>
    <t>Реконструкция участка сети от У-31 до У-31А, Дн45 мм длиной 38 м (надземная прокладка) котельная № 1 п. Верхний Ландех</t>
  </si>
  <si>
    <t>Реконструкция участка сети от У-31А до ТК-6, Дн45 мм длиной 71 м (прокладка подземная канальная) котельная № 1 п. Верхний Ландех</t>
  </si>
  <si>
    <t>Реконструкция участка сети от ТК-6 до У-32, Дн45 мм длиной 7,3 м (прокладка подземная канальная) котельная № 1 п. Верхний Ландех</t>
  </si>
  <si>
    <t>Реконструкция участка сети от У-34 до ТК-7, Дн45 мм длиной 9,5 м (прокладка подземная канальная с выносом на поверхность) котельная № 1 п. Верхний Ландех</t>
  </si>
  <si>
    <t>Реконструкция тепловых сетей в п. Верхний Ландех, ул. Новая, 1А , от У-29 до ТК-5, L=13м, Дн76мм, надземная прокладка</t>
  </si>
  <si>
    <t>Реконструкция тепловых сетей в п.Верхний Ландех, ул. Новая, 1А , от У-14 до ул.Восточная, д. 1А (д/с), L=15м, Дн76мм, надземная прокладка</t>
  </si>
  <si>
    <t>Реконструкция тепловых сетей в п. Верхний Ландех, ул. Новая, 1А , от У-28 до ул. Комсомольская, д.16, L=18м, Ду80мм, канальная прокладка</t>
  </si>
  <si>
    <t>Реконструкция тепловых сетей (подземной прокладки с выносом на поверхность) в п. Верхний Ландех, ул. Новая, 1А , от У-28 до У-29, L=65,5м, Дн76мм, надземная прокладка</t>
  </si>
  <si>
    <t>Реконструкция тепловых сетей (подземной прокладки с выносом на поверхность) в п. Верхний Ландех, ул. Новая, 1А, от ТК-4 до У-28, L=15м, Ду100, надземная прокладка</t>
  </si>
  <si>
    <t>Реконструкция тепловых сетей в п. Верхний Ландех, ул. Новая, 1А, от У-15 до У-16, L=40м, Ду125, надземная прокладка</t>
  </si>
  <si>
    <t>Реконструкция тепловых сетей в п. Верхний Ландех, ул. Новая, 1А, от У-17 до У-18, L=21,6м, Ду125, надземная прокладка</t>
  </si>
  <si>
    <t>Реконструкция тепловых сетей в п. Верхний Ландех, ул. Новая, 1А, от У-18 до У-20, L=20,3 м, Ду125, надземная прокладка</t>
  </si>
  <si>
    <t>Реконструкция тепловых сетей в п.Верхний Ландех, ул. Новая, 1А , от У-20 до У-21, L=7,4м, Ду125, надземная прокладка</t>
  </si>
  <si>
    <t>Реконструкция тепловых сетей в п. Верхний Ландех, ул. Новая, 1А, от У-21 до У-22, L=11м, Ду125, надземная прокладка</t>
  </si>
  <si>
    <t>Реконструкция тепловых сетей в п. Верхний Ландех, ул. Новая, 1А , от У-22 до У-23, L=3м, Ду125, надземная прокладка</t>
  </si>
  <si>
    <t>Реконструкция тепловых сетей в п. Верхний Ландех, ул. Новая, 1А , от У-23 до У-24, L=9,2м, Ду125, надземная прокладка</t>
  </si>
  <si>
    <t>Реконструкция тепловых сетей (подземной прокладки с выносом на поверхность) в п. Верхний Ландех, ул. Новая, 1А, от У-16 до У-17, L=26м, Ду125, надземная прокладка</t>
  </si>
  <si>
    <t>Реконструкция тепловых сетей в п. Верхний Ландех, ул. Новая, 1А, от У-24 до ТК-4, L=36,7м, Ду125мм, канальная прокладка</t>
  </si>
  <si>
    <t>Реконструкция участка сети (подземной прокладки с выносом на поверхность) Д 108 мм от У-1 до У1А  L=76 м  (в 2-х трубном исчислении) в п. Верхний Ландех ул. Октябрьская</t>
  </si>
  <si>
    <t>Реконструкция участка сети от У-3 до ул. Строителей, д. 8, Дн45 мм длиной 26 м (надземная прокладка) котельная № 3 п. Верхний Ландех</t>
  </si>
  <si>
    <t>Реконструкция существующего (подземного) участка тепловых сетей (с выносом на поверхность) в п. Верхний Ландех, ул. Строителей, д.24А, от ТК-10 до ТК-2, L=8,6м, Ду100, надземная прокладка</t>
  </si>
  <si>
    <t>Реконструкция участка сети (подземной прокладки с выносом на поверхность) от ТК-10 до ул. Строителей, д.10, Дн32 мм длиной 39 м (надземная прокладка) котельная № 3 п. Верхний Ландех</t>
  </si>
  <si>
    <t>Реконструкция тепловых сетей (подземной прокладки с выносом на поверхность) в п. Верхний Ландех, ул. Строителей, д.24А, от ТК-11 до ТК-10, L=17м, Ду100, надземная прокладка</t>
  </si>
  <si>
    <t>Реконструкция тепловых сетей (подземной прокладки с выносом на поверхность) в п. Верхний Ландех, ул. Строителей, д. 24А, от ТК-11 до ТК-12, L=13м, Ду80, надземная прокладка</t>
  </si>
  <si>
    <t>Реконструкция участка сети (подземной прокладки с выносом на поверхность) от ТК-12 до ул. Строителей, д.16, Ду50 мм длиной 11 м (надземная прокладка) котельная № 3 п. Верхний Ландех</t>
  </si>
  <si>
    <t>Реконструкция тепловых сетей (подземной прокладки с выносом на поверхность) в п. Верхний Ландех, ул. Строителей, д. 24А , от ТК-12 до ул. Строителей, д. 15, L=107,4 м, Дн76, надземная прокладка</t>
  </si>
  <si>
    <t>Реконструкция тепловых сетей (подземной прокладки с выносом на поверхность) в п. Верхний Ландех, ул. Строителей, д.24А , от ТК-4 до ТК-6, L=33,8м, Дн76, надземная прокладка</t>
  </si>
  <si>
    <t>Реконструкция тепловых сетей (подземной прокладки с выносом на поверхность) в п. Верхний Ландех, ул. Строителей, д. 24А, от ТК-6 до У-1, L=37м, Дн76, надземная прокладка</t>
  </si>
  <si>
    <t>Реконструкция тепловых сетей (подземной прокладки с выносом на поверхность) в п. Верхний Ландех,  ул. Строителей, д.24А ,от У-2 до ТК-9, L=2м, Дн76, надземная прокладка</t>
  </si>
  <si>
    <t>Реконструкция участка сети от ТК-9 до У-3, Дн45 мм длиной 42 м (подземной прокладки с выносом на поверхность) котельная № 3 п. Верхний Ландех, ул. Строителей, д. 24а</t>
  </si>
  <si>
    <t>Реконструкция тепловых сетей (подземной прокладки с выносом на поверхность) в п. Верхний Ландех, ул. Строителей, д.24А , от ТК-14 до ул. Строителей, д.20, L=16,1м, Ду80, надземная прокладка</t>
  </si>
  <si>
    <t>Реконструкция тепловых сетей (подземной прокладки с выносом на поверхность) в п. Верхний Ландех, ул. Строителей, д.24А , от ТК-14 до ТК-15, L=37м, Ду100, надземная прокладка</t>
  </si>
  <si>
    <t>Реконструкция тепловых сетей (подземной прокладки с выносом на поверхность) в п. Верхний Ландех, ул. Строителей, д.24А , от ТК-15 до ул. Строителей, д.22, L=23,5 м, Ду80, надземная прокладка</t>
  </si>
  <si>
    <t>Реконструкция тепловых сетей в п. Верхний Ландех, ул. Строителей, д. 24А ,от ТК-15 до ул. Строителей, д. 21, L=16,3м, Ду80, надземная прокладка</t>
  </si>
  <si>
    <t>Реконструкция тепловых сетей (подземной прокладки с выносом на поверхность) в п. Верхний Ландех, ул. Строителей, д.24А , от У-10А до ТК-14, L=12м, Ду100, надземная прокладка</t>
  </si>
  <si>
    <t>Реконструкция тепловых сетей в п. Верхний Ландех, от У-1 до У-2, L=11м, Ду80, надземная прокладка</t>
  </si>
  <si>
    <t>Реконструкция тепловых сетей (подземной прокладки с выносом на поверхность) в п. Верхний Ландех, от У-2 до У-4, L=24,5м, Ду80, надземная прокладка</t>
  </si>
  <si>
    <t xml:space="preserve"> 37:01:000000:568</t>
  </si>
  <si>
    <t xml:space="preserve"> 37:01:000000:569</t>
  </si>
  <si>
    <t xml:space="preserve"> 37:01:020109:36</t>
  </si>
  <si>
    <t xml:space="preserve"> 37:01:020102:198</t>
  </si>
  <si>
    <t>п. Верхний Ландех, тепловая сеть от котельной №1 по ул. Новая, д. 1А</t>
  </si>
  <si>
    <t>п. Верхний Ландех, тепловая сеть от котельной № 1 по ул. Новая, д. 1А</t>
  </si>
  <si>
    <t>п. Верхний Ландех, тепловая сеть от котельной № 1 по ул. Новая, д.1А</t>
  </si>
  <si>
    <t>п. Верхний Ландех, тепловая сеть от котельной № 2 по ул. Октябрьская</t>
  </si>
  <si>
    <t>п. Верхний Ландех, тепловая сеть от котельной № 3 по ул. Строителей</t>
  </si>
  <si>
    <t>п. Верхний Ландех, тепловая сеть от котельной №  3 по ул. Строителей</t>
  </si>
  <si>
    <t>п. Верхний Ландех, тепловая сеть от котельной № 4 по ул. Школьная</t>
  </si>
  <si>
    <t>подземный канальный</t>
  </si>
  <si>
    <t>5.1.3</t>
  </si>
  <si>
    <t>5.1.4</t>
  </si>
  <si>
    <t>5.1.5</t>
  </si>
  <si>
    <t>5.1.6</t>
  </si>
  <si>
    <t>5.1.7</t>
  </si>
  <si>
    <t>5.1.8</t>
  </si>
  <si>
    <t>5.1.9</t>
  </si>
  <si>
    <t>5.1.10</t>
  </si>
  <si>
    <t>5.1.11</t>
  </si>
  <si>
    <t>5.1.12</t>
  </si>
  <si>
    <t>5.1.13</t>
  </si>
  <si>
    <t>5.1.14</t>
  </si>
  <si>
    <t>5.1.15</t>
  </si>
  <si>
    <t>5.1.16</t>
  </si>
  <si>
    <t>5.1.17</t>
  </si>
  <si>
    <t>5.1.18</t>
  </si>
  <si>
    <t>5.1.19</t>
  </si>
  <si>
    <t>5.1.20</t>
  </si>
  <si>
    <t>5.1.21</t>
  </si>
  <si>
    <t>5.1.22</t>
  </si>
  <si>
    <t>5.1.23</t>
  </si>
  <si>
    <t>5.1.24</t>
  </si>
  <si>
    <t>Вывод из эксплуатации существующего надземного участка тепловой сети в п. Верхний Ландех, ул.  Новая, 1А от У-33 до ул. Рабочая, д. 4,  D-32 мм L= 13,40 м в двухтрубном исполнении</t>
  </si>
  <si>
    <t>Вывод из эксплуатации существующего подземного участка тепловой сети в п. Верхний Ландех, ул. Новая, 1А от У-32 до У-33, D-32 мм L= 20,50 м в двухтрубном исполнении</t>
  </si>
  <si>
    <t>Вывод из эксплуатации существующего подземного участка тепловой сети в п. Верхний Ландех, ул. Новая, 1А от ТК-8 до Рабочая ул., д. 6,  D-57 мм L= 17,20 м в двухтрубном исполнении</t>
  </si>
  <si>
    <t>Вывод из эксплуатации существующего надземного участка тепловой сети в п. Верхний Ландех, ул. Новая, 1А от Котельная № 1 до У-1,  D-150 мм L= 5,60 м в двухтрубном исполнении</t>
  </si>
  <si>
    <t>Вывод из эксплуатации существующего надземного участка тепловой сети в п. Верхний Ландех, ул. Новая 1А от У-1 до У-2,  D-159 мм L= 5,00 м в двухтрубном исполнении</t>
  </si>
  <si>
    <t>Вывод из эксплуатации существующего подземного участка тепловой сети от У-2 до ТК-1,  D-76 мм L= 4,50 м в двухтрубном исполнении</t>
  </si>
  <si>
    <t>Вывод из эксплуатации существующего подземного участка тепловой сети от ТК-2 до Малыгина ул., д.20,  D-76 мм L= 85,00 м в двухтрубном исполнении</t>
  </si>
  <si>
    <t>Вывод из эксплуатации существующего подземного участка тепловой сети в п. Верхний Ландех, ул. Новая, 1А от ТК-1 до ТК-2,  D-57 мм L= 93,50 м в двухтрубном исполнении</t>
  </si>
  <si>
    <t>Вывод из эксплуатации существующего надземного участка тепловой сети в п. Верхний Ландех, ул. Новая, 1А от У-15 до Восточная ул., д. 1,  D-76 мм L= 5,00 м в двухтрубном исполнении</t>
  </si>
  <si>
    <t>Вывод из эксплуатации существующего надземного участка тепловой сети в п. Верхний Ландех ул. Октябрьская от Котельной № 2 до У-1Б D-108 мм L= 10,00 м в двухтрубном исполнении</t>
  </si>
  <si>
    <t>Вывод из эксплуатации существующего подземного участка тепловой сети в п. Верхний Ландех ул. Октябрьская от У-1 до ТК-2, D-108 мм L= 35,00 м в двухтрубном исполнении</t>
  </si>
  <si>
    <t>Вывод из эксплуатации существующего подземного участка тепловой сети в п. Верхний Ландех ул. Октябрьская от ТК-2 до ТК-3, D-76 мм L= 37 м в двухтрубном исполнении</t>
  </si>
  <si>
    <t>Вывод из эксплуатации существующего подземного участка тепловой сети от ТК-3 до Октябрьская ул., д. 27, D-76 мм L= 74,00 м в двухтрубном исполнении</t>
  </si>
  <si>
    <t>Вывод из эксплуатации существующего подземного участка тепловой сети от ТК-2 до Октябрьская ул., д. 31, D-76 мм L= 42,00 м в двухтрубном исполнении</t>
  </si>
  <si>
    <t xml:space="preserve">Вывод из эксплуатации существующего подземного участка тепловой сети  в п. Верхний Ландех, ул. Строителей, д. 24А от Котельной №3 до ТК-1 D-133 мм L= 55,70 м в двухтрубном исполнении </t>
  </si>
  <si>
    <t>Вывод из эксплуатации существующего подземного участка тепловой сети в п. Верхний Ландех, ул. Строителей, д. 24А от ТК-1 до У-0, D-133 мм L= 96,00 м в двухтрубном исполнении</t>
  </si>
  <si>
    <t>Вывод из эксплуатации существующего подземного участка тепловой сети в п. Верхний Ландех, ул. Строителей,д. 24А от У-0 до ТК-2, D-159 мм L= 42,00 м в двухтрубном исполнении</t>
  </si>
  <si>
    <t>Вывод из эксплуатации существующего подземного участка тепловой сети в п. Верхний Ландех, ул. Строителей, д. 24А от  У-10 до У-10А, D-108 мм L= 19,00 м в двухтрубном исполнении</t>
  </si>
  <si>
    <t>Вывод из эксплуатации существующего подземного участка тепловой сети в п. Верхний Ландех пер. Школьный от У-1 до У-3 D-76 мм L= 32,70 м в двухтрубном исполнении</t>
  </si>
  <si>
    <t>Вывод из эксплуатации существующего надземного участка тепловой сети в п. Верхний Ландех пер. Школьный от Котельная № 4 до У-1, D-133 мм  L= 2,10 м в двухтрубном исполнении</t>
  </si>
  <si>
    <t>Вывод из эксплуатации существующего подземного участка тепловой сети от У-3 до Школьный пер., д. 3, D-76 мм L= 30,00 м в двухтрубном исполнении</t>
  </si>
  <si>
    <t>Вывод из эксплуатации существующего надземного участка тепловой сети от Котельная № 4 до Школьный пер., д. 1, D-40 мм L= 259,70 м в двухтрубном исполнении</t>
  </si>
  <si>
    <t>Вывод из эксплуатации существующего подземного участка тепловой сети в п. Верхний Ландех, ул. Новая, 1А от ТК-6 до Рабочая ул., д. 5,  D-45 мм L= 5,00 м в двухтрубном исполнении</t>
  </si>
  <si>
    <t>подземный</t>
  </si>
  <si>
    <t>2030-2038</t>
  </si>
  <si>
    <t>Теплотрасса котельной №1 п. Верхний Ландех</t>
  </si>
  <si>
    <t>2034-2038</t>
  </si>
  <si>
    <t>Котельная №1 п. Верхний Ландех</t>
  </si>
  <si>
    <t>БМК №1 п. Верхний Ландех</t>
  </si>
  <si>
    <t>Котельная №2 п. Верхний Ландех</t>
  </si>
  <si>
    <t>БМК №2 п. Верхний Ландех</t>
  </si>
  <si>
    <t>Котельная №3 п. Верхний Ландех</t>
  </si>
  <si>
    <t>БМК №3 п. Верхний Ландех</t>
  </si>
  <si>
    <t>Котельная №4 п. Верхний Ландех</t>
  </si>
  <si>
    <t>БМК №4 п. Верхний Ландех</t>
  </si>
  <si>
    <t>ООО "КЭС-Верхняя Волга" п. Верхний Ландех</t>
  </si>
  <si>
    <t>на 2024-2038 годы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</si>
  <si>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</si>
  <si>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</si>
  <si>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</si>
  <si>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</si>
  <si>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</si>
  <si>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</si>
  <si>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</si>
  <si>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</si>
  <si>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</si>
  <si>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3.2.11</t>
  </si>
  <si>
    <t>3.2.12</t>
  </si>
  <si>
    <t>3.2.13</t>
  </si>
  <si>
    <t>3.2.14</t>
  </si>
  <si>
    <t>3.2.15</t>
  </si>
  <si>
    <t>3.2.16</t>
  </si>
  <si>
    <t>3.2.17</t>
  </si>
  <si>
    <t>3.2.18</t>
  </si>
  <si>
    <t>3.2.19</t>
  </si>
  <si>
    <t>3.2.20</t>
  </si>
  <si>
    <t>3.2.21</t>
  </si>
  <si>
    <t>3.2.22</t>
  </si>
  <si>
    <t>3.2.23</t>
  </si>
  <si>
    <t>3.2.24</t>
  </si>
  <si>
    <t>3.2.25</t>
  </si>
  <si>
    <t>3.2.26</t>
  </si>
  <si>
    <t>3.2.27</t>
  </si>
  <si>
    <t>3.2.28</t>
  </si>
  <si>
    <t>3.2.29</t>
  </si>
  <si>
    <t>3.2.30</t>
  </si>
  <si>
    <t>3.2.31</t>
  </si>
  <si>
    <t>3.2.32</t>
  </si>
  <si>
    <t>3.2.33</t>
  </si>
  <si>
    <t>3.2.34</t>
  </si>
  <si>
    <t>3.2.35</t>
  </si>
  <si>
    <t>3.2.36</t>
  </si>
  <si>
    <t>3.2.37</t>
  </si>
  <si>
    <t>3.2.38</t>
  </si>
  <si>
    <t>3.2.39</t>
  </si>
  <si>
    <t>3.2.40</t>
  </si>
  <si>
    <t>3.2.41</t>
  </si>
  <si>
    <t>3.2.42</t>
  </si>
  <si>
    <t>3.2.43</t>
  </si>
  <si>
    <t>3.2.44</t>
  </si>
  <si>
    <t>3.2.45</t>
  </si>
  <si>
    <t>3.2.46</t>
  </si>
  <si>
    <t>3.2.47</t>
  </si>
  <si>
    <t>3.2.48</t>
  </si>
  <si>
    <t>3.2.49</t>
  </si>
  <si>
    <t>3.2.50</t>
  </si>
  <si>
    <t>3.2.51</t>
  </si>
  <si>
    <t>3.2.52</t>
  </si>
  <si>
    <t>3.2.53</t>
  </si>
  <si>
    <t>3.2.54</t>
  </si>
  <si>
    <t>3.2.55</t>
  </si>
  <si>
    <t>3.2.56</t>
  </si>
  <si>
    <t>3.2.57</t>
  </si>
  <si>
    <t>3.2.58</t>
  </si>
  <si>
    <t>3.2.59</t>
  </si>
  <si>
    <t>3.2.60</t>
  </si>
  <si>
    <t>3.2.61</t>
  </si>
  <si>
    <t>3.2.62</t>
  </si>
  <si>
    <t>3.2.63</t>
  </si>
  <si>
    <t>3.2.64</t>
  </si>
  <si>
    <t>3.2.65</t>
  </si>
  <si>
    <t>3.2.66</t>
  </si>
  <si>
    <t>3.2.67</t>
  </si>
  <si>
    <t>3.2.68</t>
  </si>
  <si>
    <t>3.2.69</t>
  </si>
  <si>
    <t>3.2.70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</si>
  <si>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</si>
  <si>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</si>
  <si>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</si>
  <si>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</si>
  <si>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</si>
  <si>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</si>
  <si>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</si>
  <si>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</si>
  <si>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</si>
  <si>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</si>
  <si>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</si>
  <si>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</si>
  <si>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</si>
  <si>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</si>
  <si>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</si>
  <si>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</si>
  <si>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</si>
  <si>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</si>
  <si>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</si>
  <si>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</si>
  <si>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1.1.23</t>
  </si>
  <si>
    <t>1.1.24</t>
  </si>
  <si>
    <t>1.1.25</t>
  </si>
  <si>
    <t>1.1.26</t>
  </si>
  <si>
    <t>1.1.27</t>
  </si>
  <si>
    <t>1.1.28</t>
  </si>
  <si>
    <t>1.1.29</t>
  </si>
  <si>
    <t>1.1.30</t>
  </si>
  <si>
    <t>1.1.31</t>
  </si>
  <si>
    <t>1.1.32</t>
  </si>
  <si>
    <t>1.1.33</t>
  </si>
  <si>
    <t>1.1.34</t>
  </si>
  <si>
    <t>1.1.35</t>
  </si>
  <si>
    <t>1.1.36</t>
  </si>
  <si>
    <t>1.1.37</t>
  </si>
  <si>
    <t>1.1.38</t>
  </si>
  <si>
    <t>1.1.39</t>
  </si>
  <si>
    <t>1.1.40</t>
  </si>
  <si>
    <t>1.1.41</t>
  </si>
  <si>
    <t>1.1.42</t>
  </si>
  <si>
    <t>1.1.43</t>
  </si>
  <si>
    <t>1.1.44</t>
  </si>
  <si>
    <t>1.1.45</t>
  </si>
  <si>
    <t>1.1.46</t>
  </si>
  <si>
    <t>1.1.47</t>
  </si>
  <si>
    <t>1.1.48</t>
  </si>
  <si>
    <t>1.1.49</t>
  </si>
  <si>
    <t>1.1.50</t>
  </si>
  <si>
    <t>1.1.51</t>
  </si>
  <si>
    <t>1.1.52</t>
  </si>
  <si>
    <t>1.1.53</t>
  </si>
  <si>
    <t>1.1.54</t>
  </si>
  <si>
    <t>1.1.55</t>
  </si>
  <si>
    <t>1.1.56</t>
  </si>
  <si>
    <t>1.1.57</t>
  </si>
  <si>
    <t>1.1.58</t>
  </si>
  <si>
    <t>1.1.59</t>
  </si>
  <si>
    <t>1.1.60</t>
  </si>
  <si>
    <t>1.1.61</t>
  </si>
  <si>
    <t>1.1.62</t>
  </si>
  <si>
    <t>1.1.63</t>
  </si>
  <si>
    <t>1.1.64</t>
  </si>
  <si>
    <t>1.1.65</t>
  </si>
  <si>
    <t>1.1.66</t>
  </si>
  <si>
    <t>1.1.67</t>
  </si>
  <si>
    <t>1.1.68</t>
  </si>
  <si>
    <t>1.1.69</t>
  </si>
  <si>
    <t>1.1.70</t>
  </si>
  <si>
    <t>1.1.71</t>
  </si>
  <si>
    <t>1.1.72</t>
  </si>
  <si>
    <t>1.1.73</t>
  </si>
  <si>
    <t>1.1.74</t>
  </si>
  <si>
    <t>1.1.75</t>
  </si>
  <si>
    <t>1.1.76</t>
  </si>
  <si>
    <t>1.1.77</t>
  </si>
  <si>
    <t>1.1.78</t>
  </si>
  <si>
    <t>1.1.79</t>
  </si>
  <si>
    <t>1.1.80</t>
  </si>
  <si>
    <t>1.1.81</t>
  </si>
  <si>
    <t>1.1.82</t>
  </si>
  <si>
    <t>1.1.83</t>
  </si>
  <si>
    <t>1.1.84</t>
  </si>
  <si>
    <t>1.1.85</t>
  </si>
  <si>
    <t>1.1.86</t>
  </si>
  <si>
    <t>1.1.87</t>
  </si>
  <si>
    <t>1.1.88</t>
  </si>
  <si>
    <t>1.1.89</t>
  </si>
  <si>
    <t>1.1.90</t>
  </si>
  <si>
    <t>1.1.91</t>
  </si>
  <si>
    <t>1.1.92</t>
  </si>
  <si>
    <t>1.1.93</t>
  </si>
  <si>
    <t>1.1.94</t>
  </si>
  <si>
    <t>Вывод из эксплуатации сущест-вующего надземного участка тепловой сети в п. Верхний Ландех, ул. Новая, 1А от У-19 до Восточная ул., д. 2а,  D-76 мм L= 8,10 м в двухтрубном исполнении</t>
  </si>
  <si>
    <t>ООО «КЭС – Верхняя Волга» п. Верхний Ландех</t>
  </si>
  <si>
    <t>Теплотрасса котельной №2 п. Верхний Ландех</t>
  </si>
  <si>
    <t>Теплотрасса котельной №3 п. Верхний Ландех</t>
  </si>
  <si>
    <t>Теплотрасса котельной №4 п. Верхний Ландех</t>
  </si>
  <si>
    <t>Потери тепловой энергии при передаче тепловой энергии по  тепловым сетям, в том числе</t>
  </si>
  <si>
    <t>Потери теплоносителя при передаче тепловой энергии по тепловым сетям, в том числе:</t>
  </si>
  <si>
    <t>Наименование мероприятия</t>
  </si>
  <si>
    <t>Период реализации</t>
  </si>
  <si>
    <t>ИТОГО,</t>
  </si>
  <si>
    <t>2024 год</t>
  </si>
  <si>
    <t>2025 год</t>
  </si>
  <si>
    <t>2026 год</t>
  </si>
  <si>
    <t>2027 год</t>
  </si>
  <si>
    <t>2028 год</t>
  </si>
  <si>
    <t>2029 год</t>
  </si>
  <si>
    <t>2030-208 годы</t>
  </si>
  <si>
    <t>1 квартал</t>
  </si>
  <si>
    <t>2 квартал</t>
  </si>
  <si>
    <t>3 квартал</t>
  </si>
  <si>
    <t>4 квартал</t>
  </si>
  <si>
    <t>Строительство БМК мощностью 0,4 МВт в п.Верхний Ландех, в районе ул. Октябрьская д. 37А</t>
  </si>
  <si>
    <t>Строительство сетей газоснабжения в п.Верхний Ландех, в районе ул. Октябрьская, д. 37А</t>
  </si>
  <si>
    <t>Строительство ГРПШ пропускной способностью 100 м3/час в п.Верхний Ландех, в районе ул. Октябрьская, д. 37А</t>
  </si>
  <si>
    <t>Строительство сетей водоснабжения в п.Верхний Ландех, в районе ул. Октябрьская, д. 37А</t>
  </si>
  <si>
    <t>Строительство сетей водоотведения в п.Верхний Ландех, в районе ул. Октябрьская, д. 37А</t>
  </si>
  <si>
    <t>Строительство электрических сетей в п.Верхний Ландех, в районе ул. Октябрьская, д. 37А</t>
  </si>
  <si>
    <t>Строительство надземного участка тепловых сетей от БМК 0,4МВт до У-1Б, D=108мм, L=35м (в 2-х трубном исчислении) в п. Верхний Ландех, в районе ул. Октябрьская, д. 37А</t>
  </si>
  <si>
    <t xml:space="preserve">Строительство БМК мощностью 2,0 МВт в п.Верхний Ландех, в районе ул. Строителей, д. 22       </t>
  </si>
  <si>
    <t>Строительство сетей газоснабжения в п. Верхний Ландех, в районе ул. Строителей, д. 22</t>
  </si>
  <si>
    <t>Строительство ГРПШ пропускной способностью 250 м3/час в п. Верхний Ландех, в районе ул. Строителей, д. 22</t>
  </si>
  <si>
    <t>Строительство сетей водоснабжения в п. Верхний Ландех, в районе ул. Строителей, д. 22</t>
  </si>
  <si>
    <t>Строительство сетей водоотведения в п.Верхний Ландех, в районе ул. Строителей, д. 22</t>
  </si>
  <si>
    <t>Строительство электрических сетей в п. Верхний Ландех, в районе ул. Строителей, д. 22</t>
  </si>
  <si>
    <t>Строительство БМК мощностью 0,4 МВт в п. Верхний Ландех, в районе пер. Школьный, д. 2</t>
  </si>
  <si>
    <t>Строительство сетей газоснабжения в п. Верхний Ландех, в районе пер. Школьный, д. 2</t>
  </si>
  <si>
    <t>Строительство сетей водоснабжения в п. Верхний Ландех, в районе пер. Школьный, д. 2</t>
  </si>
  <si>
    <t>Строительство сетей водоотведения в п. Верхний Ландех, в районе пер. Школьный, д. 2</t>
  </si>
  <si>
    <t>Строительство электрических сетей в п. Верхний Ландех, в районе пер. Школьный, д. 2</t>
  </si>
  <si>
    <t>заемные средства (котельная №1)</t>
  </si>
  <si>
    <t>заемные средства (тепловые сети от котельной №1)</t>
  </si>
  <si>
    <t>заемные средства (котельная №2)</t>
  </si>
  <si>
    <t>заемные средства (тепловые сети от котельной №2)</t>
  </si>
  <si>
    <t>заемные средства (котельная №3)</t>
  </si>
  <si>
    <t>заемные средства (тепловые сети от котельной №3)</t>
  </si>
  <si>
    <t>заемные средства (котельная №4)</t>
  </si>
  <si>
    <t>заемные средства (тепловые сети от котельной №4)</t>
  </si>
  <si>
    <t>бюджетные источники (Котельная №1   по адресу:п. Верхний Ландех, ул. Новая 1а)</t>
  </si>
  <si>
    <t>бюджетные источники (Котельная №2  по адресу: п. Верхний Ландех, ул. Октябрьская)</t>
  </si>
  <si>
    <t>бюджетные источники (Котельная №4   по адресу: п. Верхний Ландех, пер. Школьный)</t>
  </si>
  <si>
    <t>Расходы на реализацию инвестиционной программы (тыс. руб., без НДС) (с использованием прогнозных индексов цен)</t>
  </si>
  <si>
    <t xml:space="preserve">Расходы на реализацию мероприятий в прогнозных ценах, тыс. руб. без НДС </t>
  </si>
  <si>
    <t>Расшифровка источников финансирования инвестиционной программы, тыс. руб.  Без НДС</t>
  </si>
  <si>
    <t xml:space="preserve">тыс.руб. без НДС </t>
  </si>
  <si>
    <t xml:space="preserve">ИТОГО, тыс. руб.  без НДС </t>
  </si>
  <si>
    <t xml:space="preserve">Приложение </t>
  </si>
  <si>
    <t>Расчет процентов по займу. БМК №1</t>
  </si>
  <si>
    <t>Расчет процентов по займу. Тепловые сети котельной №1</t>
  </si>
  <si>
    <t>1 этап</t>
  </si>
  <si>
    <t>производство</t>
  </si>
  <si>
    <t>2 этап</t>
  </si>
  <si>
    <t>3 этап</t>
  </si>
  <si>
    <t>тыс. руб.</t>
  </si>
  <si>
    <t>График погашения по договору</t>
  </si>
  <si>
    <t xml:space="preserve">% </t>
  </si>
  <si>
    <t>ВСЕГО % по трем займам без НДС</t>
  </si>
  <si>
    <t>Стоимость Договора:</t>
  </si>
  <si>
    <t>годовых</t>
  </si>
  <si>
    <t>Плата концедента (01.11.2026)</t>
  </si>
  <si>
    <t>срок займа</t>
  </si>
  <si>
    <t>Авансовый платеж:</t>
  </si>
  <si>
    <t>год</t>
  </si>
  <si>
    <t>месяц</t>
  </si>
  <si>
    <t>долг</t>
  </si>
  <si>
    <t>"Тело" займа</t>
  </si>
  <si>
    <t>выплата</t>
  </si>
  <si>
    <t>погашение</t>
  </si>
  <si>
    <t>Итого:</t>
  </si>
  <si>
    <t>Общее удорожание:</t>
  </si>
  <si>
    <t>ИТОГО займ, тыс. руб</t>
  </si>
  <si>
    <t>Удорожание</t>
  </si>
  <si>
    <t>% удорожания</t>
  </si>
  <si>
    <t>всего %</t>
  </si>
  <si>
    <t>котельная №1</t>
  </si>
  <si>
    <t>сети</t>
  </si>
  <si>
    <t>2023 16%</t>
  </si>
  <si>
    <t>удорож за период</t>
  </si>
  <si>
    <t>Приложение</t>
  </si>
  <si>
    <t xml:space="preserve">Расчет процентов по займу. </t>
  </si>
  <si>
    <t>БМК №2</t>
  </si>
  <si>
    <t>Расчет процентов по займу. Тепловые сети котельной №2</t>
  </si>
  <si>
    <t>котельная</t>
  </si>
  <si>
    <t>Расчет процентов по займу. БМК №3</t>
  </si>
  <si>
    <t>Расчет процентов по займу. Тепловые сети котельной №3</t>
  </si>
  <si>
    <t>Расчет процентов по займу. БМК №4</t>
  </si>
  <si>
    <t>Расчет процентов по займу. Тепловые сети котельной №4</t>
  </si>
  <si>
    <t>с НДС</t>
  </si>
  <si>
    <t>Форма № 1-ИП ТС</t>
  </si>
  <si>
    <t>Форма № 2-ИП ТС</t>
  </si>
  <si>
    <r>
      <t>Строительство ГРПШ пропускной способностью 250 м</t>
    </r>
    <r>
      <rPr>
        <vertAlign val="superscript"/>
        <sz val="16"/>
        <rFont val="Times New Roman"/>
        <family val="1"/>
        <charset val="204"/>
      </rPr>
      <t>3</t>
    </r>
    <r>
      <rPr>
        <sz val="16"/>
        <rFont val="Times New Roman"/>
        <family val="1"/>
        <charset val="204"/>
      </rPr>
      <t>/час  в п. Верхний Ландех, в районе д. 1А по ул. Новая</t>
    </r>
  </si>
  <si>
    <t>Форма № 3-ИП ТС</t>
  </si>
  <si>
    <t>Форма № 4-ИП ТС</t>
  </si>
  <si>
    <r>
      <t>Отношение величины технологических потерь тепловой энергии, теплоносителя к материальной характеристике тепловой сети, 
Гкал/м</t>
    </r>
    <r>
      <rPr>
        <vertAlign val="superscript"/>
        <sz val="16"/>
        <rFont val="Times New Roman"/>
        <family val="1"/>
        <charset val="204"/>
      </rPr>
      <t>2</t>
    </r>
  </si>
  <si>
    <r>
      <t>Отношение величины технологических потерь теплоносителя к материальной характеристике тепловой сети, 
м</t>
    </r>
    <r>
      <rPr>
        <vertAlign val="superscript"/>
        <sz val="16"/>
        <rFont val="Times New Roman"/>
        <family val="1"/>
        <charset val="204"/>
      </rPr>
      <t>3</t>
    </r>
    <r>
      <rPr>
        <sz val="16"/>
        <rFont val="Times New Roman"/>
        <family val="1"/>
        <charset val="204"/>
      </rPr>
      <t>/м</t>
    </r>
    <r>
      <rPr>
        <vertAlign val="superscript"/>
        <sz val="16"/>
        <rFont val="Times New Roman"/>
        <family val="1"/>
        <charset val="204"/>
      </rPr>
      <t>2</t>
    </r>
  </si>
  <si>
    <r>
      <t>Величина технологических потерь при передаче теплоносителя по тепловым сетям, 
м</t>
    </r>
    <r>
      <rPr>
        <vertAlign val="superscript"/>
        <sz val="16"/>
        <rFont val="Times New Roman"/>
        <family val="1"/>
        <charset val="204"/>
      </rPr>
      <t>3</t>
    </r>
  </si>
  <si>
    <t>Форма № 5-ИП ТС</t>
  </si>
  <si>
    <r>
      <t>Строительство ГРПШ пропускной способностью 100 м</t>
    </r>
    <r>
      <rPr>
        <vertAlign val="superscript"/>
        <sz val="16"/>
        <rFont val="Times New Roman"/>
        <family val="1"/>
        <charset val="204"/>
      </rPr>
      <t>3</t>
    </r>
    <r>
      <rPr>
        <sz val="16"/>
        <rFont val="Times New Roman"/>
        <family val="1"/>
        <charset val="204"/>
      </rPr>
      <t>/час в п. Верхний Ландех, в районе пер. Школьный, д. 2</t>
    </r>
  </si>
  <si>
    <t xml:space="preserve"> Департамента энергетики и </t>
  </si>
  <si>
    <t>и тарифов Ивановской области от 13.12.2024 № 50/9</t>
  </si>
  <si>
    <t xml:space="preserve">Приложение 2/1 к протоколу заседания Правления Департамента энергетики </t>
  </si>
  <si>
    <t xml:space="preserve">Приложение 2/2 к протоколу заседания Правления Департамента энергетики </t>
  </si>
  <si>
    <t xml:space="preserve">Приложение 2/3 к протоколу заседания Правления Департамента энергетики </t>
  </si>
  <si>
    <t xml:space="preserve">Приложение 2/4 к протоколу заседания Правления Департамента энергетики </t>
  </si>
  <si>
    <t>Приложение 2/4 к протоколу заседания Правления</t>
  </si>
  <si>
    <t xml:space="preserve">Приложение 2/5 к протоколу заседания Правления Департамента энергетики </t>
  </si>
  <si>
    <t>Профинансировано к 2024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</si>
</sst>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\ _₽_-;\-* #,##0\ _₽_-;_-* &quot;-&quot;\ _₽_-;_-@_-"/>
    <numFmt numFmtId="165" formatCode="_-* #,##0.00\ _₽_-;\-* #,##0.00\ _₽_-;_-* &quot;-&quot;??\ _₽_-;_-@_-"/>
    <numFmt numFmtId="166" formatCode="0.0000"/>
    <numFmt numFmtId="167" formatCode="#,##0.000"/>
    <numFmt numFmtId="168" formatCode="0.0"/>
    <numFmt numFmtId="169" formatCode="#,##0.00000"/>
    <numFmt numFmtId="170" formatCode="#,##0.0000"/>
    <numFmt numFmtId="171" formatCode="0.000"/>
    <numFmt numFmtId="172" formatCode="0.00000"/>
    <numFmt numFmtId="173" formatCode="#,##0.0"/>
    <numFmt numFmtId="174" formatCode="0.000000"/>
    <numFmt numFmtId="175" formatCode="_-* #,##0.00&quot;р.&quot;_-;\-* #,##0.00&quot;р.&quot;_-;_-* &quot;-&quot;??&quot;р.&quot;_-;_-@_-"/>
    <numFmt numFmtId="176" formatCode="_-* #,##0\ _₽_-;\-* #,##0\ _₽_-;_-* &quot;-&quot;??\ _₽_-;_-@_-"/>
    <numFmt numFmtId="177" formatCode="#,##0.000_р_."/>
    <numFmt numFmtId="178" formatCode="#,##0_р_."/>
    <numFmt numFmtId="179" formatCode="#,##0.00_р_."/>
    <numFmt numFmtId="180" formatCode="_-* #,##0.00_р_._-;\-* #,##0.00_р_._-;_-* &quot;-&quot;??_р_._-;_-@_-"/>
    <numFmt numFmtId="181" formatCode="#,##0&quot;р.&quot;"/>
  </numFmts>
  <fonts count="8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548DD4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62"/>
      <name val="Calibri"/>
      <family val="2"/>
      <charset val="204"/>
    </font>
    <font>
      <sz val="10"/>
      <color indexed="50"/>
      <name val="Arial Cyr"/>
      <charset val="204"/>
    </font>
    <font>
      <sz val="10"/>
      <color indexed="10"/>
      <name val="Arial Cyr"/>
      <charset val="204"/>
    </font>
    <font>
      <sz val="10"/>
      <color indexed="62"/>
      <name val="Arial Cyr"/>
      <charset val="204"/>
    </font>
    <font>
      <b/>
      <sz val="10"/>
      <color indexed="8"/>
      <name val="Calibri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0"/>
      <name val="Arial"/>
      <family val="2"/>
      <charset val="204"/>
    </font>
    <font>
      <b/>
      <sz val="10"/>
      <name val="Arial Cyr"/>
      <charset val="204"/>
    </font>
    <font>
      <sz val="9"/>
      <color indexed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0"/>
      <color indexed="38"/>
      <name val="Arial Cyr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sz val="10"/>
      <name val="Arial Cyr"/>
      <charset val="204"/>
    </font>
    <font>
      <sz val="11"/>
      <color rgb="FFFF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4F81BD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5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4" tint="0.39997558519241921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theme="1"/>
      <name val="Calibri Light"/>
      <family val="1"/>
      <charset val="204"/>
      <scheme val="major"/>
    </font>
    <font>
      <b/>
      <u/>
      <sz val="9"/>
      <color theme="1"/>
      <name val="Calibri Light"/>
      <family val="1"/>
      <charset val="204"/>
      <scheme val="major"/>
    </font>
    <font>
      <b/>
      <sz val="9"/>
      <color indexed="8"/>
      <name val="Calibri Light"/>
      <family val="1"/>
      <charset val="204"/>
      <scheme val="major"/>
    </font>
    <font>
      <sz val="9"/>
      <color indexed="10"/>
      <name val="Calibri Light"/>
      <family val="1"/>
      <charset val="204"/>
      <scheme val="major"/>
    </font>
    <font>
      <b/>
      <u/>
      <sz val="9"/>
      <color indexed="8"/>
      <name val="Calibri Light"/>
      <family val="1"/>
      <charset val="204"/>
      <scheme val="major"/>
    </font>
    <font>
      <sz val="9"/>
      <name val="Calibri Light"/>
      <family val="1"/>
      <charset val="204"/>
      <scheme val="major"/>
    </font>
    <font>
      <b/>
      <sz val="9"/>
      <name val="Calibri Light"/>
      <family val="1"/>
      <charset val="204"/>
      <scheme val="major"/>
    </font>
    <font>
      <sz val="9"/>
      <color rgb="FFFF0000"/>
      <name val="Calibri Light"/>
      <family val="1"/>
      <charset val="204"/>
      <scheme val="major"/>
    </font>
    <font>
      <b/>
      <sz val="9"/>
      <color rgb="FFFF0000"/>
      <name val="Calibri Light"/>
      <family val="1"/>
      <charset val="204"/>
      <scheme val="major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name val="Times New Roman"/>
      <family val="1"/>
      <charset val="204"/>
    </font>
    <font>
      <vertAlign val="superscript"/>
      <sz val="16"/>
      <name val="Times New Roman"/>
      <family val="1"/>
      <charset val="204"/>
    </font>
    <font>
      <sz val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i/>
      <sz val="14"/>
      <color rgb="FFC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7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2"/>
      </left>
      <right style="medium">
        <color indexed="64"/>
      </right>
      <top style="medium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medium">
        <color indexed="62"/>
      </left>
      <right style="medium">
        <color indexed="64"/>
      </right>
      <top/>
      <bottom style="medium">
        <color indexed="62"/>
      </bottom>
      <diagonal/>
    </border>
    <border>
      <left/>
      <right style="medium">
        <color indexed="62"/>
      </right>
      <top/>
      <bottom style="medium">
        <color indexed="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4" fillId="0" borderId="0"/>
    <xf numFmtId="0" fontId="41" fillId="0" borderId="0"/>
    <xf numFmtId="165" fontId="1" fillId="0" borderId="0" applyFont="0" applyFill="0" applyBorder="0" applyAlignment="0" applyProtection="0"/>
    <xf numFmtId="0" fontId="1" fillId="0" borderId="0"/>
    <xf numFmtId="180" fontId="6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4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vertical="center" wrapText="1"/>
    </xf>
    <xf numFmtId="0" fontId="6" fillId="0" borderId="0" xfId="0" applyFont="1"/>
    <xf numFmtId="49" fontId="6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2" borderId="0" xfId="0" applyFont="1" applyFill="1"/>
    <xf numFmtId="173" fontId="6" fillId="0" borderId="1" xfId="0" applyNumberFormat="1" applyFont="1" applyBorder="1" applyAlignment="1">
      <alignment horizontal="center" vertical="center" wrapText="1"/>
    </xf>
    <xf numFmtId="173" fontId="6" fillId="0" borderId="3" xfId="0" applyNumberFormat="1" applyFont="1" applyBorder="1" applyAlignment="1">
      <alignment horizontal="center" vertical="center" wrapText="1"/>
    </xf>
    <xf numFmtId="173" fontId="6" fillId="0" borderId="2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9" fillId="0" borderId="22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0" fontId="10" fillId="0" borderId="23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wrapText="1"/>
    </xf>
    <xf numFmtId="0" fontId="11" fillId="0" borderId="23" xfId="0" applyFont="1" applyBorder="1" applyAlignment="1">
      <alignment horizontal="center" wrapText="1"/>
    </xf>
    <xf numFmtId="0" fontId="12" fillId="0" borderId="23" xfId="0" applyFont="1" applyBorder="1" applyAlignment="1">
      <alignment horizontal="center" wrapText="1"/>
    </xf>
    <xf numFmtId="168" fontId="12" fillId="0" borderId="23" xfId="0" applyNumberFormat="1" applyFont="1" applyBorder="1" applyAlignment="1">
      <alignment horizontal="center" wrapText="1"/>
    </xf>
    <xf numFmtId="2" fontId="12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1" xfId="0" applyFont="1" applyBorder="1" applyAlignment="1">
      <alignment horizontal="left" vertical="top" wrapText="1"/>
    </xf>
    <xf numFmtId="171" fontId="17" fillId="0" borderId="1" xfId="0" applyNumberFormat="1" applyFont="1" applyBorder="1" applyAlignment="1">
      <alignment horizontal="left" vertical="center"/>
    </xf>
    <xf numFmtId="166" fontId="18" fillId="0" borderId="3" xfId="0" applyNumberFormat="1" applyFont="1" applyBorder="1" applyAlignment="1">
      <alignment vertical="center"/>
    </xf>
    <xf numFmtId="171" fontId="19" fillId="0" borderId="0" xfId="0" applyNumberFormat="1" applyFont="1" applyAlignment="1">
      <alignment vertical="center"/>
    </xf>
    <xf numFmtId="0" fontId="0" fillId="5" borderId="0" xfId="0" applyFill="1" applyAlignment="1">
      <alignment vertical="center"/>
    </xf>
    <xf numFmtId="0" fontId="6" fillId="0" borderId="18" xfId="0" applyFont="1" applyBorder="1" applyAlignment="1">
      <alignment horizontal="justify" vertical="top" wrapText="1"/>
    </xf>
    <xf numFmtId="2" fontId="14" fillId="0" borderId="1" xfId="0" applyNumberFormat="1" applyFont="1" applyBorder="1" applyAlignment="1">
      <alignment horizontal="right" vertical="top" wrapText="1"/>
    </xf>
    <xf numFmtId="171" fontId="0" fillId="0" borderId="0" xfId="0" applyNumberFormat="1" applyFont="1" applyAlignment="1">
      <alignment vertical="center"/>
    </xf>
    <xf numFmtId="0" fontId="6" fillId="0" borderId="19" xfId="0" applyFont="1" applyBorder="1" applyAlignment="1">
      <alignment horizontal="justify" vertical="top" wrapText="1"/>
    </xf>
    <xf numFmtId="171" fontId="20" fillId="0" borderId="3" xfId="0" applyNumberFormat="1" applyFont="1" applyBorder="1" applyAlignment="1">
      <alignment vertical="center"/>
    </xf>
    <xf numFmtId="171" fontId="0" fillId="0" borderId="1" xfId="0" applyNumberFormat="1" applyBorder="1" applyAlignment="1">
      <alignment vertical="center"/>
    </xf>
    <xf numFmtId="174" fontId="17" fillId="0" borderId="1" xfId="0" applyNumberFormat="1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166" fontId="21" fillId="0" borderId="1" xfId="0" applyNumberFormat="1" applyFont="1" applyBorder="1" applyAlignment="1">
      <alignment horizontal="left" vertical="center"/>
    </xf>
    <xf numFmtId="171" fontId="21" fillId="0" borderId="1" xfId="0" applyNumberFormat="1" applyFont="1" applyBorder="1" applyAlignment="1">
      <alignment horizontal="left" vertical="center"/>
    </xf>
    <xf numFmtId="171" fontId="0" fillId="0" borderId="0" xfId="0" applyNumberFormat="1" applyAlignment="1">
      <alignment vertical="center"/>
    </xf>
    <xf numFmtId="0" fontId="15" fillId="0" borderId="0" xfId="0" applyFont="1" applyAlignment="1">
      <alignment horizontal="left" vertical="center"/>
    </xf>
    <xf numFmtId="0" fontId="22" fillId="3" borderId="13" xfId="0" applyFont="1" applyFill="1" applyBorder="1"/>
    <xf numFmtId="0" fontId="22" fillId="3" borderId="14" xfId="0" applyFont="1" applyFill="1" applyBorder="1"/>
    <xf numFmtId="0" fontId="22" fillId="3" borderId="15" xfId="0" applyFont="1" applyFill="1" applyBorder="1"/>
    <xf numFmtId="0" fontId="22" fillId="3" borderId="1" xfId="0" applyFont="1" applyFill="1" applyBorder="1"/>
    <xf numFmtId="2" fontId="22" fillId="6" borderId="1" xfId="0" applyNumberFormat="1" applyFont="1" applyFill="1" applyBorder="1"/>
    <xf numFmtId="172" fontId="22" fillId="6" borderId="1" xfId="0" applyNumberFormat="1" applyFont="1" applyFill="1" applyBorder="1"/>
    <xf numFmtId="171" fontId="22" fillId="3" borderId="1" xfId="0" applyNumberFormat="1" applyFont="1" applyFill="1" applyBorder="1"/>
    <xf numFmtId="0" fontId="22" fillId="3" borderId="16" xfId="0" applyFont="1" applyFill="1" applyBorder="1"/>
    <xf numFmtId="0" fontId="23" fillId="3" borderId="15" xfId="0" applyFont="1" applyFill="1" applyBorder="1"/>
    <xf numFmtId="0" fontId="23" fillId="3" borderId="1" xfId="0" applyFont="1" applyFill="1" applyBorder="1"/>
    <xf numFmtId="2" fontId="23" fillId="6" borderId="1" xfId="0" applyNumberFormat="1" applyFont="1" applyFill="1" applyBorder="1"/>
    <xf numFmtId="171" fontId="23" fillId="6" borderId="1" xfId="0" applyNumberFormat="1" applyFont="1" applyFill="1" applyBorder="1"/>
    <xf numFmtId="0" fontId="22" fillId="3" borderId="15" xfId="0" applyFont="1" applyFill="1" applyBorder="1" applyAlignment="1">
      <alignment horizontal="left"/>
    </xf>
    <xf numFmtId="2" fontId="22" fillId="0" borderId="1" xfId="0" applyNumberFormat="1" applyFont="1" applyFill="1" applyBorder="1"/>
    <xf numFmtId="171" fontId="24" fillId="0" borderId="1" xfId="0" applyNumberFormat="1" applyFont="1" applyFill="1" applyBorder="1"/>
    <xf numFmtId="2" fontId="22" fillId="3" borderId="1" xfId="0" applyNumberFormat="1" applyFont="1" applyFill="1" applyBorder="1"/>
    <xf numFmtId="171" fontId="22" fillId="3" borderId="16" xfId="0" applyNumberFormat="1" applyFont="1" applyFill="1" applyBorder="1"/>
    <xf numFmtId="2" fontId="23" fillId="3" borderId="1" xfId="0" applyNumberFormat="1" applyFont="1" applyFill="1" applyBorder="1"/>
    <xf numFmtId="171" fontId="25" fillId="3" borderId="1" xfId="0" applyNumberFormat="1" applyFont="1" applyFill="1" applyBorder="1"/>
    <xf numFmtId="171" fontId="26" fillId="0" borderId="0" xfId="0" applyNumberFormat="1" applyFont="1" applyAlignment="1">
      <alignment vertical="center"/>
    </xf>
    <xf numFmtId="171" fontId="23" fillId="3" borderId="1" xfId="0" applyNumberFormat="1" applyFont="1" applyFill="1" applyBorder="1"/>
    <xf numFmtId="171" fontId="23" fillId="3" borderId="16" xfId="0" applyNumberFormat="1" applyFont="1" applyFill="1" applyBorder="1"/>
    <xf numFmtId="0" fontId="22" fillId="3" borderId="0" xfId="0" applyFont="1" applyFill="1"/>
    <xf numFmtId="0" fontId="22" fillId="7" borderId="0" xfId="0" applyFont="1" applyFill="1"/>
    <xf numFmtId="0" fontId="0" fillId="3" borderId="0" xfId="0" applyFill="1" applyAlignment="1">
      <alignment vertical="center"/>
    </xf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 vertical="top" wrapText="1"/>
    </xf>
    <xf numFmtId="0" fontId="6" fillId="3" borderId="26" xfId="0" applyFont="1" applyFill="1" applyBorder="1" applyAlignment="1">
      <alignment horizontal="left"/>
    </xf>
    <xf numFmtId="171" fontId="27" fillId="0" borderId="27" xfId="0" applyNumberFormat="1" applyFont="1" applyBorder="1" applyAlignment="1">
      <alignment horizontal="right" wrapText="1"/>
    </xf>
    <xf numFmtId="171" fontId="0" fillId="3" borderId="0" xfId="0" applyNumberForma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167" fontId="4" fillId="6" borderId="0" xfId="0" applyNumberFormat="1" applyFont="1" applyFill="1" applyAlignment="1">
      <alignment horizontal="center" vertical="center"/>
    </xf>
    <xf numFmtId="10" fontId="0" fillId="0" borderId="0" xfId="0" applyNumberFormat="1"/>
    <xf numFmtId="9" fontId="0" fillId="0" borderId="0" xfId="0" applyNumberFormat="1"/>
    <xf numFmtId="175" fontId="26" fillId="0" borderId="28" xfId="0" applyNumberFormat="1" applyFont="1" applyBorder="1" applyAlignment="1">
      <alignment horizontal="right"/>
    </xf>
    <xf numFmtId="167" fontId="0" fillId="0" borderId="0" xfId="0" applyNumberFormat="1" applyBorder="1"/>
    <xf numFmtId="167" fontId="0" fillId="8" borderId="28" xfId="0" applyNumberFormat="1" applyFill="1" applyBorder="1"/>
    <xf numFmtId="167" fontId="0" fillId="9" borderId="0" xfId="0" applyNumberFormat="1" applyFill="1" applyBorder="1"/>
    <xf numFmtId="170" fontId="0" fillId="0" borderId="0" xfId="0" applyNumberFormat="1" applyBorder="1"/>
    <xf numFmtId="175" fontId="0" fillId="0" borderId="28" xfId="0" applyNumberFormat="1" applyFont="1" applyBorder="1" applyAlignment="1">
      <alignment horizontal="right"/>
    </xf>
    <xf numFmtId="165" fontId="0" fillId="0" borderId="0" xfId="0" applyNumberFormat="1"/>
    <xf numFmtId="167" fontId="0" fillId="8" borderId="0" xfId="0" applyNumberFormat="1" applyFill="1" applyBorder="1"/>
    <xf numFmtId="0" fontId="0" fillId="0" borderId="0" xfId="0" applyFill="1"/>
    <xf numFmtId="167" fontId="0" fillId="10" borderId="0" xfId="0" applyNumberFormat="1" applyFill="1" applyBorder="1"/>
    <xf numFmtId="0" fontId="0" fillId="6" borderId="0" xfId="0" applyFill="1"/>
    <xf numFmtId="175" fontId="26" fillId="0" borderId="28" xfId="0" applyNumberFormat="1" applyFont="1" applyFill="1" applyBorder="1" applyAlignment="1">
      <alignment horizontal="right"/>
    </xf>
    <xf numFmtId="167" fontId="0" fillId="0" borderId="0" xfId="0" applyNumberFormat="1" applyFill="1" applyBorder="1"/>
    <xf numFmtId="175" fontId="0" fillId="0" borderId="28" xfId="0" applyNumberFormat="1" applyFont="1" applyFill="1" applyBorder="1" applyAlignment="1">
      <alignment horizontal="right"/>
    </xf>
    <xf numFmtId="175" fontId="26" fillId="6" borderId="28" xfId="0" applyNumberFormat="1" applyFont="1" applyFill="1" applyBorder="1" applyAlignment="1">
      <alignment horizontal="right"/>
    </xf>
    <xf numFmtId="175" fontId="0" fillId="6" borderId="28" xfId="0" applyNumberFormat="1" applyFont="1" applyFill="1" applyBorder="1" applyAlignment="1">
      <alignment horizontal="right"/>
    </xf>
    <xf numFmtId="167" fontId="0" fillId="6" borderId="0" xfId="0" applyNumberFormat="1" applyFill="1" applyBorder="1"/>
    <xf numFmtId="165" fontId="0" fillId="8" borderId="28" xfId="0" applyNumberFormat="1" applyFill="1" applyBorder="1"/>
    <xf numFmtId="165" fontId="0" fillId="0" borderId="0" xfId="0" applyNumberFormat="1" applyBorder="1"/>
    <xf numFmtId="175" fontId="0" fillId="6" borderId="28" xfId="0" applyNumberFormat="1" applyFill="1" applyBorder="1" applyAlignment="1">
      <alignment horizontal="right"/>
    </xf>
    <xf numFmtId="167" fontId="0" fillId="0" borderId="0" xfId="0" applyNumberFormat="1"/>
    <xf numFmtId="0" fontId="29" fillId="0" borderId="0" xfId="0" applyFont="1"/>
    <xf numFmtId="0" fontId="0" fillId="2" borderId="0" xfId="0" applyFill="1"/>
    <xf numFmtId="175" fontId="0" fillId="2" borderId="28" xfId="0" applyNumberFormat="1" applyFill="1" applyBorder="1" applyAlignment="1">
      <alignment horizontal="right"/>
    </xf>
    <xf numFmtId="167" fontId="0" fillId="2" borderId="0" xfId="0" applyNumberFormat="1" applyFill="1"/>
    <xf numFmtId="0" fontId="31" fillId="2" borderId="0" xfId="0" applyFont="1" applyFill="1" applyAlignment="1">
      <alignment horizontal="center"/>
    </xf>
    <xf numFmtId="0" fontId="31" fillId="2" borderId="0" xfId="0" applyFont="1" applyFill="1"/>
    <xf numFmtId="0" fontId="31" fillId="2" borderId="0" xfId="0" applyFont="1" applyFill="1" applyAlignment="1"/>
    <xf numFmtId="0" fontId="11" fillId="0" borderId="0" xfId="0" applyFont="1" applyFill="1"/>
    <xf numFmtId="0" fontId="11" fillId="2" borderId="0" xfId="0" applyFont="1" applyFill="1"/>
    <xf numFmtId="0" fontId="11" fillId="0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32" fillId="2" borderId="17" xfId="0" applyFont="1" applyFill="1" applyBorder="1" applyAlignment="1">
      <alignment horizontal="center" vertical="center"/>
    </xf>
    <xf numFmtId="0" fontId="33" fillId="0" borderId="0" xfId="0" applyFont="1" applyFill="1"/>
    <xf numFmtId="0" fontId="34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left" vertical="center" wrapText="1"/>
    </xf>
    <xf numFmtId="167" fontId="34" fillId="2" borderId="1" xfId="0" applyNumberFormat="1" applyFont="1" applyFill="1" applyBorder="1" applyAlignment="1">
      <alignment horizontal="center" vertical="center" wrapText="1"/>
    </xf>
    <xf numFmtId="167" fontId="34" fillId="2" borderId="1" xfId="0" applyNumberFormat="1" applyFont="1" applyFill="1" applyBorder="1" applyAlignment="1">
      <alignment wrapText="1"/>
    </xf>
    <xf numFmtId="0" fontId="35" fillId="0" borderId="0" xfId="0" applyFont="1" applyFill="1"/>
    <xf numFmtId="0" fontId="36" fillId="0" borderId="0" xfId="0" applyFont="1" applyFill="1"/>
    <xf numFmtId="0" fontId="36" fillId="2" borderId="0" xfId="0" applyFont="1" applyFill="1"/>
    <xf numFmtId="0" fontId="31" fillId="2" borderId="1" xfId="0" applyFont="1" applyFill="1" applyBorder="1" applyAlignment="1">
      <alignment horizontal="left" vertical="center" wrapText="1" indent="1"/>
    </xf>
    <xf numFmtId="167" fontId="31" fillId="2" borderId="1" xfId="0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left" vertical="center" wrapText="1" indent="1"/>
    </xf>
    <xf numFmtId="167" fontId="31" fillId="0" borderId="1" xfId="0" applyNumberFormat="1" applyFont="1" applyFill="1" applyBorder="1" applyAlignment="1">
      <alignment horizontal="center" vertical="center" wrapText="1"/>
    </xf>
    <xf numFmtId="167" fontId="34" fillId="2" borderId="1" xfId="0" applyNumberFormat="1" applyFont="1" applyFill="1" applyBorder="1" applyAlignment="1">
      <alignment horizont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167" fontId="34" fillId="0" borderId="1" xfId="0" applyNumberFormat="1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 indent="1"/>
    </xf>
    <xf numFmtId="0" fontId="37" fillId="0" borderId="0" xfId="0" applyFont="1" applyFill="1"/>
    <xf numFmtId="0" fontId="37" fillId="2" borderId="0" xfId="0" applyFont="1" applyFill="1"/>
    <xf numFmtId="0" fontId="31" fillId="0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4" fontId="4" fillId="2" borderId="0" xfId="0" applyNumberFormat="1" applyFont="1" applyFill="1"/>
    <xf numFmtId="2" fontId="11" fillId="2" borderId="0" xfId="0" applyNumberFormat="1" applyFont="1" applyFill="1"/>
    <xf numFmtId="0" fontId="13" fillId="2" borderId="0" xfId="0" applyFont="1" applyFill="1"/>
    <xf numFmtId="2" fontId="38" fillId="2" borderId="0" xfId="0" applyNumberFormat="1" applyFont="1" applyFill="1"/>
    <xf numFmtId="49" fontId="0" fillId="0" borderId="0" xfId="0" applyNumberFormat="1"/>
    <xf numFmtId="2" fontId="6" fillId="0" borderId="1" xfId="0" applyNumberFormat="1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 wrapText="1"/>
    </xf>
    <xf numFmtId="0" fontId="43" fillId="0" borderId="22" xfId="0" applyFont="1" applyBorder="1" applyAlignment="1">
      <alignment horizontal="center" wrapText="1"/>
    </xf>
    <xf numFmtId="0" fontId="43" fillId="0" borderId="19" xfId="0" applyFont="1" applyBorder="1" applyAlignment="1">
      <alignment horizontal="center" wrapText="1"/>
    </xf>
    <xf numFmtId="0" fontId="43" fillId="0" borderId="23" xfId="0" applyFont="1" applyBorder="1" applyAlignment="1">
      <alignment horizontal="center" wrapText="1"/>
    </xf>
    <xf numFmtId="0" fontId="8" fillId="0" borderId="29" xfId="0" applyFont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8" fillId="0" borderId="23" xfId="0" applyFont="1" applyBorder="1" applyAlignment="1">
      <alignment horizontal="center"/>
    </xf>
    <xf numFmtId="0" fontId="8" fillId="0" borderId="31" xfId="0" applyFont="1" applyBorder="1" applyAlignment="1">
      <alignment horizontal="center" wrapText="1"/>
    </xf>
    <xf numFmtId="0" fontId="8" fillId="0" borderId="32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3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44" fillId="0" borderId="22" xfId="0" applyFont="1" applyBorder="1" applyAlignment="1">
      <alignment horizontal="center" wrapText="1"/>
    </xf>
    <xf numFmtId="0" fontId="45" fillId="0" borderId="22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8" fillId="0" borderId="37" xfId="0" applyFont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  <xf numFmtId="0" fontId="9" fillId="0" borderId="41" xfId="0" applyFont="1" applyBorder="1" applyAlignment="1">
      <alignment horizontal="center" wrapText="1"/>
    </xf>
    <xf numFmtId="0" fontId="9" fillId="0" borderId="42" xfId="0" applyFont="1" applyBorder="1" applyAlignment="1">
      <alignment horizontal="center" wrapText="1"/>
    </xf>
    <xf numFmtId="0" fontId="11" fillId="0" borderId="19" xfId="0" applyFont="1" applyBorder="1" applyAlignment="1">
      <alignment horizontal="center"/>
    </xf>
    <xf numFmtId="0" fontId="46" fillId="0" borderId="23" xfId="0" applyFont="1" applyBorder="1" applyAlignment="1">
      <alignment horizontal="center"/>
    </xf>
    <xf numFmtId="172" fontId="46" fillId="0" borderId="23" xfId="0" applyNumberFormat="1" applyFont="1" applyBorder="1" applyAlignment="1">
      <alignment horizontal="center"/>
    </xf>
    <xf numFmtId="172" fontId="0" fillId="0" borderId="0" xfId="0" applyNumberFormat="1"/>
    <xf numFmtId="171" fontId="46" fillId="0" borderId="23" xfId="0" applyNumberFormat="1" applyFont="1" applyBorder="1" applyAlignment="1">
      <alignment horizontal="center"/>
    </xf>
    <xf numFmtId="171" fontId="0" fillId="0" borderId="0" xfId="0" applyNumberFormat="1"/>
    <xf numFmtId="2" fontId="0" fillId="0" borderId="0" xfId="0" applyNumberFormat="1"/>
    <xf numFmtId="0" fontId="47" fillId="0" borderId="30" xfId="0" applyFont="1" applyBorder="1" applyAlignment="1">
      <alignment horizontal="center" wrapText="1"/>
    </xf>
    <xf numFmtId="0" fontId="47" fillId="0" borderId="31" xfId="0" applyFont="1" applyBorder="1" applyAlignment="1">
      <alignment horizontal="center" wrapText="1"/>
    </xf>
    <xf numFmtId="0" fontId="47" fillId="0" borderId="2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48" fillId="0" borderId="0" xfId="0" applyFont="1"/>
    <xf numFmtId="0" fontId="48" fillId="0" borderId="0" xfId="0" applyFont="1" applyAlignment="1">
      <alignment wrapText="1"/>
    </xf>
    <xf numFmtId="0" fontId="49" fillId="0" borderId="0" xfId="0" applyFont="1" applyAlignment="1">
      <alignment wrapText="1"/>
    </xf>
    <xf numFmtId="0" fontId="49" fillId="0" borderId="0" xfId="0" applyFont="1"/>
    <xf numFmtId="0" fontId="50" fillId="0" borderId="0" xfId="0" applyFont="1"/>
    <xf numFmtId="0" fontId="51" fillId="0" borderId="0" xfId="0" applyFont="1"/>
    <xf numFmtId="0" fontId="42" fillId="0" borderId="0" xfId="0" applyFont="1"/>
    <xf numFmtId="49" fontId="31" fillId="2" borderId="1" xfId="0" applyNumberFormat="1" applyFont="1" applyFill="1" applyBorder="1" applyAlignment="1">
      <alignment horizontal="center" vertical="center" wrapText="1"/>
    </xf>
    <xf numFmtId="171" fontId="31" fillId="0" borderId="1" xfId="0" applyNumberFormat="1" applyFont="1" applyFill="1" applyBorder="1" applyAlignment="1">
      <alignment horizontal="left" vertical="center" wrapText="1" indent="1"/>
    </xf>
    <xf numFmtId="167" fontId="52" fillId="0" borderId="0" xfId="0" applyNumberFormat="1" applyFont="1" applyBorder="1"/>
    <xf numFmtId="167" fontId="52" fillId="8" borderId="28" xfId="0" applyNumberFormat="1" applyFont="1" applyFill="1" applyBorder="1"/>
    <xf numFmtId="167" fontId="52" fillId="9" borderId="0" xfId="0" applyNumberFormat="1" applyFont="1" applyFill="1" applyBorder="1"/>
    <xf numFmtId="167" fontId="52" fillId="8" borderId="0" xfId="0" applyNumberFormat="1" applyFont="1" applyFill="1" applyBorder="1"/>
    <xf numFmtId="0" fontId="53" fillId="0" borderId="11" xfId="0" applyFont="1" applyBorder="1" applyAlignment="1">
      <alignment horizontal="center" wrapText="1"/>
    </xf>
    <xf numFmtId="0" fontId="53" fillId="0" borderId="34" xfId="0" applyFont="1" applyBorder="1" applyAlignment="1">
      <alignment horizontal="center" wrapText="1"/>
    </xf>
    <xf numFmtId="0" fontId="0" fillId="0" borderId="23" xfId="0" applyBorder="1" applyAlignment="1">
      <alignment wrapText="1"/>
    </xf>
    <xf numFmtId="0" fontId="30" fillId="0" borderId="23" xfId="0" applyFont="1" applyBorder="1" applyAlignment="1">
      <alignment horizontal="center" textRotation="90" wrapText="1"/>
    </xf>
    <xf numFmtId="0" fontId="30" fillId="0" borderId="23" xfId="0" applyFont="1" applyBorder="1" applyAlignment="1">
      <alignment horizontal="center" textRotation="90"/>
    </xf>
    <xf numFmtId="0" fontId="30" fillId="0" borderId="43" xfId="0" applyFont="1" applyBorder="1" applyAlignment="1">
      <alignment horizontal="center"/>
    </xf>
    <xf numFmtId="0" fontId="8" fillId="0" borderId="23" xfId="0" applyFont="1" applyBorder="1" applyAlignment="1">
      <alignment vertical="top" wrapText="1"/>
    </xf>
    <xf numFmtId="0" fontId="30" fillId="0" borderId="19" xfId="0" applyFont="1" applyBorder="1" applyAlignment="1">
      <alignment horizontal="center"/>
    </xf>
    <xf numFmtId="0" fontId="8" fillId="0" borderId="45" xfId="0" applyFont="1" applyBorder="1" applyAlignment="1">
      <alignment horizontal="center" wrapText="1"/>
    </xf>
    <xf numFmtId="0" fontId="31" fillId="2" borderId="7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171" fontId="9" fillId="0" borderId="23" xfId="0" applyNumberFormat="1" applyFont="1" applyBorder="1" applyAlignment="1">
      <alignment horizontal="center" textRotation="90" wrapText="1"/>
    </xf>
    <xf numFmtId="0" fontId="55" fillId="0" borderId="0" xfId="5" applyFont="1"/>
    <xf numFmtId="0" fontId="56" fillId="0" borderId="0" xfId="5" applyFont="1"/>
    <xf numFmtId="164" fontId="55" fillId="0" borderId="0" xfId="5" applyNumberFormat="1" applyFont="1"/>
    <xf numFmtId="0" fontId="55" fillId="0" borderId="0" xfId="5" applyNumberFormat="1" applyFont="1" applyAlignment="1">
      <alignment horizontal="center"/>
    </xf>
    <xf numFmtId="0" fontId="55" fillId="0" borderId="0" xfId="5" applyFont="1" applyAlignment="1">
      <alignment horizontal="left"/>
    </xf>
    <xf numFmtId="172" fontId="55" fillId="0" borderId="0" xfId="5" applyNumberFormat="1" applyFont="1"/>
    <xf numFmtId="176" fontId="55" fillId="0" borderId="0" xfId="5" applyNumberFormat="1" applyFont="1"/>
    <xf numFmtId="0" fontId="57" fillId="0" borderId="6" xfId="5" applyFont="1" applyBorder="1" applyAlignment="1">
      <alignment horizontal="center" vertical="center"/>
    </xf>
    <xf numFmtId="0" fontId="57" fillId="0" borderId="1" xfId="5" applyFont="1" applyBorder="1" applyAlignment="1">
      <alignment horizontal="center" vertical="center"/>
    </xf>
    <xf numFmtId="0" fontId="57" fillId="0" borderId="0" xfId="5" applyFont="1"/>
    <xf numFmtId="167" fontId="58" fillId="0" borderId="0" xfId="5" applyNumberFormat="1" applyFont="1" applyAlignment="1">
      <alignment horizontal="center"/>
    </xf>
    <xf numFmtId="10" fontId="57" fillId="0" borderId="1" xfId="5" applyNumberFormat="1" applyFont="1" applyBorder="1" applyAlignment="1">
      <alignment horizontal="center" vertical="center"/>
    </xf>
    <xf numFmtId="0" fontId="55" fillId="0" borderId="1" xfId="5" applyFont="1" applyBorder="1" applyAlignment="1">
      <alignment horizontal="center" vertical="center"/>
    </xf>
    <xf numFmtId="0" fontId="57" fillId="0" borderId="1" xfId="5" applyFont="1" applyBorder="1"/>
    <xf numFmtId="171" fontId="58" fillId="0" borderId="0" xfId="5" applyNumberFormat="1" applyFont="1" applyAlignment="1">
      <alignment horizontal="center"/>
    </xf>
    <xf numFmtId="0" fontId="57" fillId="0" borderId="3" xfId="5" applyFont="1" applyBorder="1"/>
    <xf numFmtId="0" fontId="57" fillId="0" borderId="3" xfId="5" applyFont="1" applyBorder="1" applyAlignment="1">
      <alignment horizontal="center" vertical="center"/>
    </xf>
    <xf numFmtId="172" fontId="58" fillId="0" borderId="0" xfId="5" applyNumberFormat="1" applyFont="1" applyAlignment="1">
      <alignment horizontal="center"/>
    </xf>
    <xf numFmtId="10" fontId="57" fillId="0" borderId="3" xfId="5" applyNumberFormat="1" applyFont="1" applyBorder="1" applyAlignment="1">
      <alignment horizontal="center" vertical="center"/>
    </xf>
    <xf numFmtId="0" fontId="55" fillId="0" borderId="3" xfId="5" applyFont="1" applyBorder="1" applyAlignment="1">
      <alignment horizontal="center" vertical="center"/>
    </xf>
    <xf numFmtId="177" fontId="57" fillId="0" borderId="1" xfId="5" applyNumberFormat="1" applyFont="1" applyBorder="1" applyAlignment="1">
      <alignment horizontal="center" vertical="center"/>
    </xf>
    <xf numFmtId="3" fontId="59" fillId="0" borderId="1" xfId="5" applyNumberFormat="1" applyFont="1" applyBorder="1" applyAlignment="1">
      <alignment horizontal="center" vertical="center"/>
    </xf>
    <xf numFmtId="0" fontId="57" fillId="0" borderId="1" xfId="5" applyFont="1" applyBorder="1" applyAlignment="1">
      <alignment horizontal="center"/>
    </xf>
    <xf numFmtId="178" fontId="57" fillId="0" borderId="1" xfId="5" applyNumberFormat="1" applyFont="1" applyBorder="1" applyAlignment="1">
      <alignment horizontal="center" vertical="center"/>
    </xf>
    <xf numFmtId="1" fontId="59" fillId="0" borderId="1" xfId="5" applyNumberFormat="1" applyFont="1" applyBorder="1" applyAlignment="1">
      <alignment horizontal="center" vertical="center"/>
    </xf>
    <xf numFmtId="165" fontId="59" fillId="0" borderId="1" xfId="4" applyFont="1" applyBorder="1" applyAlignment="1">
      <alignment horizontal="center" vertical="center"/>
    </xf>
    <xf numFmtId="0" fontId="55" fillId="0" borderId="1" xfId="5" applyFont="1" applyBorder="1" applyAlignment="1">
      <alignment horizontal="center"/>
    </xf>
    <xf numFmtId="179" fontId="55" fillId="10" borderId="2" xfId="5" applyNumberFormat="1" applyFont="1" applyFill="1" applyBorder="1" applyAlignment="1">
      <alignment horizontal="center" vertical="center"/>
    </xf>
    <xf numFmtId="179" fontId="57" fillId="0" borderId="1" xfId="5" applyNumberFormat="1" applyFont="1" applyBorder="1" applyAlignment="1">
      <alignment horizontal="center" vertical="center"/>
    </xf>
    <xf numFmtId="179" fontId="57" fillId="0" borderId="2" xfId="5" applyNumberFormat="1" applyFont="1" applyBorder="1" applyAlignment="1">
      <alignment horizontal="center" vertical="center"/>
    </xf>
    <xf numFmtId="179" fontId="57" fillId="0" borderId="9" xfId="5" applyNumberFormat="1" applyFont="1" applyBorder="1" applyAlignment="1">
      <alignment horizontal="center" vertical="center"/>
    </xf>
    <xf numFmtId="179" fontId="57" fillId="0" borderId="3" xfId="5" applyNumberFormat="1" applyFont="1" applyBorder="1" applyAlignment="1">
      <alignment horizontal="center" vertical="center"/>
    </xf>
    <xf numFmtId="2" fontId="55" fillId="0" borderId="0" xfId="5" applyNumberFormat="1" applyFont="1"/>
    <xf numFmtId="0" fontId="60" fillId="0" borderId="1" xfId="5" applyFont="1" applyBorder="1" applyAlignment="1">
      <alignment horizontal="center"/>
    </xf>
    <xf numFmtId="179" fontId="60" fillId="10" borderId="2" xfId="5" applyNumberFormat="1" applyFont="1" applyFill="1" applyBorder="1" applyAlignment="1">
      <alignment horizontal="center" vertical="center"/>
    </xf>
    <xf numFmtId="179" fontId="61" fillId="0" borderId="1" xfId="5" applyNumberFormat="1" applyFont="1" applyBorder="1" applyAlignment="1">
      <alignment horizontal="center" vertical="center"/>
    </xf>
    <xf numFmtId="0" fontId="62" fillId="0" borderId="1" xfId="5" applyFont="1" applyBorder="1" applyAlignment="1">
      <alignment horizontal="center"/>
    </xf>
    <xf numFmtId="179" fontId="62" fillId="10" borderId="2" xfId="5" applyNumberFormat="1" applyFont="1" applyFill="1" applyBorder="1" applyAlignment="1">
      <alignment horizontal="center" vertical="center"/>
    </xf>
    <xf numFmtId="179" fontId="63" fillId="0" borderId="1" xfId="5" applyNumberFormat="1" applyFont="1" applyBorder="1" applyAlignment="1">
      <alignment horizontal="center" vertical="center"/>
    </xf>
    <xf numFmtId="179" fontId="57" fillId="0" borderId="5" xfId="5" applyNumberFormat="1" applyFont="1" applyBorder="1" applyAlignment="1">
      <alignment horizontal="center" vertical="center"/>
    </xf>
    <xf numFmtId="0" fontId="57" fillId="10" borderId="9" xfId="5" applyFont="1" applyFill="1" applyBorder="1" applyAlignment="1">
      <alignment horizontal="center" vertical="center"/>
    </xf>
    <xf numFmtId="179" fontId="57" fillId="0" borderId="2" xfId="5" applyNumberFormat="1" applyFont="1" applyBorder="1" applyAlignment="1">
      <alignment vertical="center"/>
    </xf>
    <xf numFmtId="179" fontId="57" fillId="0" borderId="9" xfId="5" applyNumberFormat="1" applyFont="1" applyBorder="1" applyAlignment="1">
      <alignment vertical="center"/>
    </xf>
    <xf numFmtId="179" fontId="57" fillId="0" borderId="3" xfId="5" applyNumberFormat="1" applyFont="1" applyBorder="1" applyAlignment="1">
      <alignment vertical="center"/>
    </xf>
    <xf numFmtId="0" fontId="57" fillId="10" borderId="46" xfId="5" applyFont="1" applyFill="1" applyBorder="1" applyAlignment="1">
      <alignment horizontal="center" vertical="center"/>
    </xf>
    <xf numFmtId="0" fontId="57" fillId="10" borderId="3" xfId="5" applyFont="1" applyFill="1" applyBorder="1" applyAlignment="1">
      <alignment horizontal="center" vertical="center"/>
    </xf>
    <xf numFmtId="0" fontId="57" fillId="10" borderId="47" xfId="5" applyFont="1" applyFill="1" applyBorder="1" applyAlignment="1">
      <alignment horizontal="center" vertical="center"/>
    </xf>
    <xf numFmtId="10" fontId="57" fillId="0" borderId="1" xfId="5" applyNumberFormat="1" applyFont="1" applyBorder="1" applyAlignment="1">
      <alignment horizontal="center"/>
    </xf>
    <xf numFmtId="180" fontId="57" fillId="0" borderId="1" xfId="6" applyFont="1" applyBorder="1" applyAlignment="1">
      <alignment horizontal="center" vertical="center"/>
    </xf>
    <xf numFmtId="181" fontId="55" fillId="0" borderId="1" xfId="5" applyNumberFormat="1" applyFont="1" applyBorder="1"/>
    <xf numFmtId="181" fontId="55" fillId="0" borderId="0" xfId="5" applyNumberFormat="1" applyFont="1"/>
    <xf numFmtId="167" fontId="55" fillId="0" borderId="0" xfId="5" applyNumberFormat="1" applyFont="1"/>
    <xf numFmtId="4" fontId="55" fillId="0" borderId="0" xfId="5" applyNumberFormat="1" applyFont="1" applyAlignment="1">
      <alignment horizontal="center"/>
    </xf>
    <xf numFmtId="4" fontId="55" fillId="0" borderId="0" xfId="5" applyNumberFormat="1" applyFont="1"/>
    <xf numFmtId="9" fontId="55" fillId="0" borderId="0" xfId="7" applyFont="1" applyAlignment="1">
      <alignment horizontal="center"/>
    </xf>
    <xf numFmtId="179" fontId="55" fillId="0" borderId="0" xfId="5" applyNumberFormat="1" applyFont="1"/>
    <xf numFmtId="9" fontId="55" fillId="0" borderId="0" xfId="5" applyNumberFormat="1" applyFont="1"/>
    <xf numFmtId="180" fontId="55" fillId="0" borderId="0" xfId="5" applyNumberFormat="1" applyFont="1"/>
    <xf numFmtId="0" fontId="55" fillId="0" borderId="0" xfId="5" applyNumberFormat="1" applyFont="1"/>
    <xf numFmtId="171" fontId="57" fillId="0" borderId="1" xfId="5" applyNumberFormat="1" applyFont="1" applyBorder="1" applyAlignment="1">
      <alignment horizontal="center" vertical="center"/>
    </xf>
    <xf numFmtId="167" fontId="57" fillId="0" borderId="1" xfId="5" applyNumberFormat="1" applyFont="1" applyBorder="1" applyAlignment="1">
      <alignment horizontal="center" vertical="center"/>
    </xf>
    <xf numFmtId="167" fontId="55" fillId="0" borderId="0" xfId="5" applyNumberFormat="1" applyFont="1" applyAlignment="1">
      <alignment horizontal="center"/>
    </xf>
    <xf numFmtId="171" fontId="55" fillId="0" borderId="0" xfId="5" applyNumberFormat="1" applyFont="1"/>
    <xf numFmtId="171" fontId="7" fillId="0" borderId="23" xfId="0" applyNumberFormat="1" applyFont="1" applyBorder="1" applyAlignment="1">
      <alignment horizontal="center" textRotation="90" wrapText="1"/>
    </xf>
    <xf numFmtId="171" fontId="7" fillId="0" borderId="23" xfId="0" applyNumberFormat="1" applyFont="1" applyBorder="1" applyAlignment="1">
      <alignment horizontal="center" textRotation="90"/>
    </xf>
    <xf numFmtId="171" fontId="54" fillId="0" borderId="2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/>
    </xf>
    <xf numFmtId="171" fontId="11" fillId="2" borderId="0" xfId="0" applyNumberFormat="1" applyFont="1" applyFill="1"/>
    <xf numFmtId="167" fontId="11" fillId="2" borderId="0" xfId="0" applyNumberFormat="1" applyFont="1" applyFill="1"/>
    <xf numFmtId="0" fontId="11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1" fillId="0" borderId="0" xfId="0" applyFont="1"/>
    <xf numFmtId="0" fontId="66" fillId="0" borderId="0" xfId="0" applyFont="1"/>
    <xf numFmtId="0" fontId="67" fillId="0" borderId="0" xfId="0" applyFont="1"/>
    <xf numFmtId="0" fontId="70" fillId="0" borderId="0" xfId="0" applyFont="1"/>
    <xf numFmtId="0" fontId="67" fillId="0" borderId="0" xfId="0" applyFont="1" applyFill="1"/>
    <xf numFmtId="0" fontId="70" fillId="0" borderId="0" xfId="0" applyFont="1" applyFill="1" applyAlignment="1">
      <alignment horizontal="left"/>
    </xf>
    <xf numFmtId="0" fontId="70" fillId="0" borderId="0" xfId="0" applyFont="1" applyFill="1"/>
    <xf numFmtId="0" fontId="70" fillId="0" borderId="0" xfId="0" applyFont="1" applyFill="1" applyAlignment="1">
      <alignment horizontal="center" vertical="center"/>
    </xf>
    <xf numFmtId="0" fontId="70" fillId="0" borderId="6" xfId="0" applyFont="1" applyFill="1" applyBorder="1" applyAlignment="1">
      <alignment vertical="center" wrapText="1"/>
    </xf>
    <xf numFmtId="3" fontId="70" fillId="0" borderId="1" xfId="0" applyNumberFormat="1" applyFont="1" applyFill="1" applyBorder="1" applyAlignment="1">
      <alignment horizontal="center" vertical="center" wrapText="1"/>
    </xf>
    <xf numFmtId="167" fontId="70" fillId="0" borderId="1" xfId="0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justify" vertical="center" wrapText="1"/>
    </xf>
    <xf numFmtId="3" fontId="68" fillId="0" borderId="1" xfId="0" applyNumberFormat="1" applyFont="1" applyFill="1" applyBorder="1" applyAlignment="1">
      <alignment horizontal="center" vertical="center" wrapText="1"/>
    </xf>
    <xf numFmtId="167" fontId="68" fillId="0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/>
    </xf>
    <xf numFmtId="0" fontId="6" fillId="2" borderId="0" xfId="3" applyFont="1" applyFill="1" applyAlignment="1">
      <alignment horizontal="right" vertical="center"/>
    </xf>
    <xf numFmtId="0" fontId="6" fillId="0" borderId="1" xfId="0" applyFont="1" applyBorder="1" applyAlignment="1">
      <alignment horizontal="center" wrapText="1"/>
    </xf>
    <xf numFmtId="170" fontId="6" fillId="0" borderId="3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wrapText="1"/>
    </xf>
    <xf numFmtId="168" fontId="6" fillId="0" borderId="3" xfId="0" applyNumberFormat="1" applyFont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2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32" fillId="2" borderId="0" xfId="0" applyFont="1" applyFill="1"/>
    <xf numFmtId="0" fontId="66" fillId="0" borderId="1" xfId="0" applyFont="1" applyFill="1" applyBorder="1" applyAlignment="1">
      <alignment horizontal="center" vertical="center" textRotation="90" wrapText="1"/>
    </xf>
    <xf numFmtId="0" fontId="67" fillId="2" borderId="0" xfId="0" applyFont="1" applyFill="1" applyAlignment="1"/>
    <xf numFmtId="0" fontId="70" fillId="0" borderId="0" xfId="0" applyFont="1" applyAlignment="1">
      <alignment horizontal="right" vertical="center"/>
    </xf>
    <xf numFmtId="0" fontId="67" fillId="2" borderId="0" xfId="0" applyFont="1" applyFill="1"/>
    <xf numFmtId="0" fontId="67" fillId="0" borderId="0" xfId="0" applyFont="1" applyAlignment="1">
      <alignment horizontal="right"/>
    </xf>
    <xf numFmtId="0" fontId="70" fillId="0" borderId="0" xfId="0" applyFont="1" applyAlignment="1">
      <alignment horizontal="center"/>
    </xf>
    <xf numFmtId="0" fontId="70" fillId="0" borderId="1" xfId="0" applyFont="1" applyFill="1" applyBorder="1" applyAlignment="1">
      <alignment horizontal="center" vertical="center" textRotation="90" wrapText="1"/>
    </xf>
    <xf numFmtId="49" fontId="70" fillId="0" borderId="1" xfId="0" applyNumberFormat="1" applyFont="1" applyFill="1" applyBorder="1" applyAlignment="1">
      <alignment horizontal="center" vertical="center"/>
    </xf>
    <xf numFmtId="2" fontId="70" fillId="0" borderId="1" xfId="0" applyNumberFormat="1" applyFont="1" applyFill="1" applyBorder="1" applyAlignment="1">
      <alignment horizontal="center" vertical="center" textRotation="90"/>
    </xf>
    <xf numFmtId="0" fontId="70" fillId="0" borderId="1" xfId="0" applyNumberFormat="1" applyFont="1" applyFill="1" applyBorder="1" applyAlignment="1">
      <alignment horizontal="center" vertical="center"/>
    </xf>
    <xf numFmtId="2" fontId="70" fillId="0" borderId="1" xfId="0" applyNumberFormat="1" applyFont="1" applyBorder="1" applyAlignment="1">
      <alignment horizontal="center" vertical="center" textRotation="90" wrapText="1"/>
    </xf>
    <xf numFmtId="0" fontId="70" fillId="0" borderId="0" xfId="0" applyNumberFormat="1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left" vertical="center" wrapText="1"/>
    </xf>
    <xf numFmtId="2" fontId="70" fillId="0" borderId="0" xfId="0" applyNumberFormat="1" applyFont="1" applyFill="1" applyBorder="1" applyAlignment="1">
      <alignment horizontal="center" vertical="center" textRotation="90"/>
    </xf>
    <xf numFmtId="168" fontId="70" fillId="0" borderId="0" xfId="0" applyNumberFormat="1" applyFont="1" applyFill="1" applyBorder="1" applyAlignment="1">
      <alignment horizontal="center" vertical="center" textRotation="90"/>
    </xf>
    <xf numFmtId="0" fontId="32" fillId="2" borderId="0" xfId="0" applyFont="1" applyFill="1" applyAlignment="1">
      <alignment horizontal="center"/>
    </xf>
    <xf numFmtId="0" fontId="32" fillId="0" borderId="0" xfId="0" applyFont="1" applyFill="1"/>
    <xf numFmtId="0" fontId="32" fillId="0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74" fillId="0" borderId="0" xfId="0" applyFont="1" applyFill="1"/>
    <xf numFmtId="0" fontId="32" fillId="2" borderId="1" xfId="0" applyFont="1" applyFill="1" applyBorder="1" applyAlignment="1">
      <alignment horizontal="center" vertical="center" wrapText="1"/>
    </xf>
    <xf numFmtId="0" fontId="75" fillId="2" borderId="1" xfId="0" applyFont="1" applyFill="1" applyBorder="1" applyAlignment="1">
      <alignment horizontal="center" vertical="center" wrapText="1"/>
    </xf>
    <xf numFmtId="0" fontId="75" fillId="2" borderId="1" xfId="0" applyFont="1" applyFill="1" applyBorder="1" applyAlignment="1">
      <alignment horizontal="left" vertical="center" wrapText="1"/>
    </xf>
    <xf numFmtId="167" fontId="75" fillId="2" borderId="1" xfId="0" applyNumberFormat="1" applyFont="1" applyFill="1" applyBorder="1" applyAlignment="1">
      <alignment horizontal="center" vertical="center" wrapText="1"/>
    </xf>
    <xf numFmtId="167" fontId="75" fillId="2" borderId="1" xfId="0" applyNumberFormat="1" applyFont="1" applyFill="1" applyBorder="1" applyAlignment="1">
      <alignment wrapText="1"/>
    </xf>
    <xf numFmtId="0" fontId="76" fillId="0" borderId="0" xfId="0" applyFont="1" applyFill="1"/>
    <xf numFmtId="0" fontId="75" fillId="0" borderId="0" xfId="0" applyFont="1" applyFill="1"/>
    <xf numFmtId="0" fontId="75" fillId="2" borderId="0" xfId="0" applyFont="1" applyFill="1"/>
    <xf numFmtId="0" fontId="32" fillId="2" borderId="1" xfId="0" applyFont="1" applyFill="1" applyBorder="1" applyAlignment="1">
      <alignment horizontal="left" vertical="center" wrapText="1" indent="1"/>
    </xf>
    <xf numFmtId="167" fontId="32" fillId="2" borderId="1" xfId="0" applyNumberFormat="1" applyFont="1" applyFill="1" applyBorder="1" applyAlignment="1">
      <alignment horizontal="center" vertical="center" wrapText="1"/>
    </xf>
    <xf numFmtId="0" fontId="75" fillId="2" borderId="1" xfId="0" applyFont="1" applyFill="1" applyBorder="1" applyAlignment="1">
      <alignment horizontal="left" vertical="center" wrapText="1" indent="1"/>
    </xf>
    <xf numFmtId="49" fontId="32" fillId="2" borderId="1" xfId="0" applyNumberFormat="1" applyFont="1" applyFill="1" applyBorder="1" applyAlignment="1">
      <alignment horizontal="center" vertical="center" wrapText="1"/>
    </xf>
    <xf numFmtId="167" fontId="32" fillId="0" borderId="1" xfId="0" applyNumberFormat="1" applyFont="1" applyFill="1" applyBorder="1" applyAlignment="1">
      <alignment horizontal="center" vertical="center" wrapText="1"/>
    </xf>
    <xf numFmtId="0" fontId="77" fillId="0" borderId="0" xfId="0" applyFont="1" applyFill="1"/>
    <xf numFmtId="0" fontId="77" fillId="2" borderId="0" xfId="0" applyFont="1" applyFill="1"/>
    <xf numFmtId="167" fontId="75" fillId="2" borderId="1" xfId="0" applyNumberFormat="1" applyFont="1" applyFill="1" applyBorder="1" applyAlignment="1">
      <alignment horizontal="center" wrapText="1"/>
    </xf>
    <xf numFmtId="0" fontId="75" fillId="0" borderId="1" xfId="0" applyFont="1" applyFill="1" applyBorder="1" applyAlignment="1">
      <alignment horizontal="center" vertical="center" wrapText="1"/>
    </xf>
    <xf numFmtId="0" fontId="75" fillId="0" borderId="1" xfId="0" applyFont="1" applyFill="1" applyBorder="1" applyAlignment="1">
      <alignment horizontal="left" vertical="center" wrapText="1"/>
    </xf>
    <xf numFmtId="167" fontId="75" fillId="0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 indent="1"/>
    </xf>
    <xf numFmtId="171" fontId="32" fillId="0" borderId="1" xfId="0" applyNumberFormat="1" applyFont="1" applyFill="1" applyBorder="1" applyAlignment="1">
      <alignment horizontal="left" vertical="center" wrapText="1" indent="1"/>
    </xf>
    <xf numFmtId="0" fontId="32" fillId="0" borderId="1" xfId="0" applyFont="1" applyFill="1" applyBorder="1" applyAlignment="1">
      <alignment horizontal="center" vertical="center" wrapText="1"/>
    </xf>
    <xf numFmtId="0" fontId="66" fillId="0" borderId="0" xfId="0" applyFont="1" applyFill="1"/>
    <xf numFmtId="0" fontId="66" fillId="2" borderId="0" xfId="0" applyFont="1" applyFill="1"/>
    <xf numFmtId="4" fontId="66" fillId="2" borderId="0" xfId="0" applyNumberFormat="1" applyFont="1" applyFill="1"/>
    <xf numFmtId="2" fontId="32" fillId="2" borderId="0" xfId="0" applyNumberFormat="1" applyFont="1" applyFill="1"/>
    <xf numFmtId="0" fontId="65" fillId="2" borderId="0" xfId="0" applyFont="1" applyFill="1"/>
    <xf numFmtId="2" fontId="78" fillId="2" borderId="0" xfId="0" applyNumberFormat="1" applyFont="1" applyFill="1"/>
    <xf numFmtId="0" fontId="67" fillId="2" borderId="0" xfId="0" applyFont="1" applyFill="1" applyAlignment="1">
      <alignment horizontal="center"/>
    </xf>
    <xf numFmtId="0" fontId="70" fillId="2" borderId="0" xfId="2" applyFont="1" applyFill="1" applyAlignment="1">
      <alignment horizontal="right"/>
    </xf>
    <xf numFmtId="0" fontId="67" fillId="0" borderId="0" xfId="0" applyFont="1" applyFill="1" applyAlignment="1">
      <alignment vertical="center"/>
    </xf>
    <xf numFmtId="0" fontId="67" fillId="2" borderId="0" xfId="0" applyFont="1" applyFill="1" applyAlignment="1">
      <alignment vertical="center"/>
    </xf>
    <xf numFmtId="0" fontId="79" fillId="0" borderId="0" xfId="0" applyFont="1" applyFill="1"/>
    <xf numFmtId="0" fontId="67" fillId="2" borderId="1" xfId="0" applyFont="1" applyFill="1" applyBorder="1" applyAlignment="1">
      <alignment horizontal="center" vertical="center" wrapText="1"/>
    </xf>
    <xf numFmtId="0" fontId="67" fillId="2" borderId="7" xfId="0" applyFont="1" applyFill="1" applyBorder="1" applyAlignment="1">
      <alignment horizontal="center" vertical="center" wrapText="1"/>
    </xf>
    <xf numFmtId="171" fontId="32" fillId="0" borderId="1" xfId="0" applyNumberFormat="1" applyFont="1" applyFill="1" applyBorder="1" applyAlignment="1">
      <alignment horizontal="center" vertical="center" wrapText="1"/>
    </xf>
    <xf numFmtId="0" fontId="67" fillId="2" borderId="0" xfId="0" applyFont="1" applyFill="1" applyAlignment="1">
      <alignment horizontal="center" vertical="center"/>
    </xf>
    <xf numFmtId="0" fontId="73" fillId="2" borderId="0" xfId="0" applyFont="1" applyFill="1" applyAlignment="1">
      <alignment horizontal="center" vertical="center"/>
    </xf>
    <xf numFmtId="14" fontId="70" fillId="0" borderId="1" xfId="0" applyNumberFormat="1" applyFont="1" applyFill="1" applyBorder="1" applyAlignment="1">
      <alignment horizontal="center" vertical="center"/>
    </xf>
    <xf numFmtId="167" fontId="70" fillId="0" borderId="1" xfId="0" applyNumberFormat="1" applyFont="1" applyFill="1" applyBorder="1" applyAlignment="1">
      <alignment horizontal="center" vertical="center"/>
    </xf>
    <xf numFmtId="14" fontId="70" fillId="0" borderId="1" xfId="0" applyNumberFormat="1" applyFont="1" applyFill="1" applyBorder="1" applyAlignment="1">
      <alignment horizontal="center" vertical="center" wrapText="1"/>
    </xf>
    <xf numFmtId="171" fontId="70" fillId="0" borderId="1" xfId="0" applyNumberFormat="1" applyFont="1" applyFill="1" applyBorder="1" applyAlignment="1">
      <alignment horizontal="center" vertical="center"/>
    </xf>
    <xf numFmtId="172" fontId="70" fillId="0" borderId="1" xfId="0" applyNumberFormat="1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167" fontId="32" fillId="2" borderId="0" xfId="0" applyNumberFormat="1" applyFont="1" applyFill="1"/>
    <xf numFmtId="0" fontId="70" fillId="0" borderId="6" xfId="0" applyFont="1" applyFill="1" applyBorder="1" applyAlignment="1">
      <alignment horizontal="center" vertical="center" wrapText="1"/>
    </xf>
    <xf numFmtId="0" fontId="70" fillId="0" borderId="7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vertical="center" wrapText="1"/>
    </xf>
    <xf numFmtId="49" fontId="70" fillId="0" borderId="1" xfId="0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/>
    </xf>
    <xf numFmtId="0" fontId="67" fillId="2" borderId="0" xfId="0" applyFont="1" applyFill="1" applyAlignment="1">
      <alignment horizontal="right"/>
    </xf>
    <xf numFmtId="167" fontId="77" fillId="0" borderId="0" xfId="0" applyNumberFormat="1" applyFont="1" applyFill="1"/>
    <xf numFmtId="0" fontId="68" fillId="0" borderId="0" xfId="0" applyFont="1" applyFill="1" applyAlignment="1"/>
    <xf numFmtId="0" fontId="68" fillId="0" borderId="0" xfId="0" applyFont="1" applyFill="1" applyAlignment="1">
      <alignment vertical="center"/>
    </xf>
    <xf numFmtId="0" fontId="70" fillId="0" borderId="0" xfId="0" applyFont="1" applyFill="1" applyAlignment="1">
      <alignment vertical="top"/>
    </xf>
    <xf numFmtId="0" fontId="70" fillId="0" borderId="0" xfId="0" applyFont="1" applyFill="1" applyAlignment="1">
      <alignment horizontal="right" vertical="center"/>
    </xf>
    <xf numFmtId="0" fontId="70" fillId="0" borderId="7" xfId="0" applyFont="1" applyFill="1" applyBorder="1" applyAlignment="1">
      <alignment vertical="center" wrapText="1"/>
    </xf>
    <xf numFmtId="169" fontId="70" fillId="0" borderId="1" xfId="0" applyNumberFormat="1" applyFont="1" applyFill="1" applyBorder="1" applyAlignment="1">
      <alignment horizontal="center" vertical="center" wrapText="1"/>
    </xf>
    <xf numFmtId="167" fontId="70" fillId="0" borderId="0" xfId="0" applyNumberFormat="1" applyFont="1" applyFill="1"/>
    <xf numFmtId="0" fontId="70" fillId="2" borderId="0" xfId="0" applyFont="1" applyFill="1" applyAlignment="1"/>
    <xf numFmtId="0" fontId="70" fillId="2" borderId="0" xfId="0" applyFont="1" applyFill="1" applyAlignment="1">
      <alignment horizontal="right"/>
    </xf>
    <xf numFmtId="0" fontId="70" fillId="4" borderId="1" xfId="0" applyFont="1" applyFill="1" applyBorder="1" applyAlignment="1">
      <alignment horizontal="center" vertical="center" wrapText="1"/>
    </xf>
    <xf numFmtId="0" fontId="68" fillId="0" borderId="0" xfId="0" applyFont="1" applyFill="1"/>
    <xf numFmtId="0" fontId="70" fillId="2" borderId="0" xfId="0" applyFont="1" applyFill="1"/>
    <xf numFmtId="0" fontId="68" fillId="0" borderId="0" xfId="0" applyFont="1" applyAlignment="1">
      <alignment wrapText="1"/>
    </xf>
    <xf numFmtId="0" fontId="69" fillId="0" borderId="0" xfId="0" applyFont="1" applyBorder="1" applyAlignment="1"/>
    <xf numFmtId="0" fontId="70" fillId="0" borderId="0" xfId="0" applyFont="1" applyAlignment="1">
      <alignment vertical="top"/>
    </xf>
    <xf numFmtId="2" fontId="3" fillId="0" borderId="1" xfId="0" applyNumberFormat="1" applyFont="1" applyFill="1" applyBorder="1" applyAlignment="1">
      <alignment horizontal="center" vertical="center" textRotation="90"/>
    </xf>
    <xf numFmtId="0" fontId="67" fillId="2" borderId="0" xfId="0" applyFont="1" applyFill="1" applyBorder="1" applyAlignment="1">
      <alignment vertical="center"/>
    </xf>
    <xf numFmtId="49" fontId="7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 wrapText="1"/>
    </xf>
    <xf numFmtId="0" fontId="70" fillId="0" borderId="5" xfId="0" applyFont="1" applyFill="1" applyBorder="1" applyAlignment="1">
      <alignment horizontal="center" vertical="center" wrapText="1"/>
    </xf>
    <xf numFmtId="0" fontId="70" fillId="0" borderId="6" xfId="0" applyFont="1" applyFill="1" applyBorder="1" applyAlignment="1">
      <alignment horizontal="center" vertical="center" wrapText="1"/>
    </xf>
    <xf numFmtId="0" fontId="70" fillId="0" borderId="7" xfId="0" applyFont="1" applyFill="1" applyBorder="1" applyAlignment="1">
      <alignment horizontal="center" vertical="center" wrapText="1"/>
    </xf>
    <xf numFmtId="0" fontId="70" fillId="0" borderId="5" xfId="0" applyFont="1" applyFill="1" applyBorder="1" applyAlignment="1">
      <alignment horizontal="left" vertical="center" wrapText="1"/>
    </xf>
    <xf numFmtId="0" fontId="70" fillId="0" borderId="6" xfId="0" applyFont="1" applyFill="1" applyBorder="1" applyAlignment="1">
      <alignment horizontal="left" vertical="center" wrapText="1"/>
    </xf>
    <xf numFmtId="0" fontId="70" fillId="0" borderId="1" xfId="0" applyFont="1" applyFill="1" applyBorder="1" applyAlignment="1">
      <alignment vertical="center" wrapText="1"/>
    </xf>
    <xf numFmtId="0" fontId="68" fillId="0" borderId="5" xfId="0" applyFont="1" applyFill="1" applyBorder="1" applyAlignment="1">
      <alignment horizontal="center" vertical="center" wrapText="1"/>
    </xf>
    <xf numFmtId="0" fontId="68" fillId="0" borderId="6" xfId="0" applyFont="1" applyFill="1" applyBorder="1" applyAlignment="1">
      <alignment horizontal="center" vertical="center" wrapText="1"/>
    </xf>
    <xf numFmtId="0" fontId="68" fillId="0" borderId="7" xfId="0" applyFont="1" applyFill="1" applyBorder="1" applyAlignment="1">
      <alignment horizontal="center" vertical="center" wrapText="1"/>
    </xf>
    <xf numFmtId="0" fontId="68" fillId="0" borderId="0" xfId="0" applyFont="1" applyFill="1" applyAlignment="1">
      <alignment horizontal="center"/>
    </xf>
    <xf numFmtId="0" fontId="69" fillId="0" borderId="0" xfId="0" applyFont="1" applyFill="1" applyAlignment="1">
      <alignment horizontal="center" vertical="center"/>
    </xf>
    <xf numFmtId="0" fontId="68" fillId="0" borderId="0" xfId="0" applyFont="1" applyFill="1" applyAlignment="1">
      <alignment horizontal="center" vertical="center"/>
    </xf>
    <xf numFmtId="0" fontId="70" fillId="0" borderId="0" xfId="0" applyFont="1" applyFill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0" fontId="49" fillId="0" borderId="0" xfId="0" applyFont="1" applyAlignment="1">
      <alignment horizontal="left"/>
    </xf>
    <xf numFmtId="0" fontId="70" fillId="0" borderId="1" xfId="0" applyFont="1" applyFill="1" applyBorder="1" applyAlignment="1">
      <alignment horizontal="center" vertical="center"/>
    </xf>
    <xf numFmtId="0" fontId="70" fillId="0" borderId="4" xfId="0" applyFont="1" applyBorder="1" applyAlignment="1">
      <alignment horizontal="center" vertical="center" wrapText="1"/>
    </xf>
    <xf numFmtId="0" fontId="70" fillId="0" borderId="20" xfId="0" applyFont="1" applyBorder="1" applyAlignment="1">
      <alignment horizontal="center" vertical="center" wrapText="1"/>
    </xf>
    <xf numFmtId="0" fontId="70" fillId="0" borderId="12" xfId="0" applyFont="1" applyBorder="1" applyAlignment="1">
      <alignment horizontal="center" vertical="center" wrapText="1"/>
    </xf>
    <xf numFmtId="0" fontId="70" fillId="0" borderId="0" xfId="0" applyFont="1" applyBorder="1" applyAlignment="1">
      <alignment horizontal="center" vertical="center" wrapText="1"/>
    </xf>
    <xf numFmtId="0" fontId="70" fillId="0" borderId="8" xfId="0" applyFont="1" applyBorder="1" applyAlignment="1">
      <alignment horizontal="center" vertical="center" wrapText="1"/>
    </xf>
    <xf numFmtId="0" fontId="70" fillId="0" borderId="1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wrapText="1"/>
    </xf>
    <xf numFmtId="0" fontId="70" fillId="0" borderId="0" xfId="0" applyFont="1" applyFill="1" applyBorder="1" applyAlignment="1">
      <alignment horizontal="left" wrapText="1"/>
    </xf>
    <xf numFmtId="0" fontId="73" fillId="0" borderId="0" xfId="0" applyFont="1" applyAlignment="1">
      <alignment horizontal="left"/>
    </xf>
    <xf numFmtId="0" fontId="73" fillId="0" borderId="0" xfId="0" applyFont="1" applyAlignment="1"/>
    <xf numFmtId="0" fontId="70" fillId="0" borderId="1" xfId="0" applyFont="1" applyBorder="1" applyAlignment="1">
      <alignment horizontal="center" vertical="center" wrapText="1"/>
    </xf>
    <xf numFmtId="0" fontId="70" fillId="0" borderId="1" xfId="3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7" fillId="2" borderId="17" xfId="0" applyFont="1" applyFill="1" applyBorder="1" applyAlignment="1">
      <alignment horizontal="center"/>
    </xf>
    <xf numFmtId="49" fontId="70" fillId="0" borderId="1" xfId="0" applyNumberFormat="1" applyFont="1" applyFill="1" applyBorder="1" applyAlignment="1">
      <alignment horizontal="center" vertical="center" wrapText="1"/>
    </xf>
    <xf numFmtId="0" fontId="70" fillId="0" borderId="5" xfId="0" applyFont="1" applyFill="1" applyBorder="1" applyAlignment="1">
      <alignment horizontal="center" vertical="center"/>
    </xf>
    <xf numFmtId="0" fontId="70" fillId="0" borderId="6" xfId="0" applyFont="1" applyFill="1" applyBorder="1" applyAlignment="1">
      <alignment horizontal="center" vertical="center"/>
    </xf>
    <xf numFmtId="0" fontId="67" fillId="2" borderId="0" xfId="0" applyFont="1" applyFill="1" applyAlignment="1">
      <alignment horizontal="right"/>
    </xf>
    <xf numFmtId="0" fontId="67" fillId="2" borderId="1" xfId="0" applyFont="1" applyFill="1" applyBorder="1" applyAlignment="1">
      <alignment horizontal="center" vertical="center" wrapText="1"/>
    </xf>
    <xf numFmtId="0" fontId="67" fillId="2" borderId="5" xfId="0" applyFont="1" applyFill="1" applyBorder="1" applyAlignment="1">
      <alignment horizontal="center" vertical="center" wrapText="1"/>
    </xf>
    <xf numFmtId="0" fontId="67" fillId="2" borderId="6" xfId="0" applyFont="1" applyFill="1" applyBorder="1" applyAlignment="1">
      <alignment horizontal="center" vertical="center" wrapText="1"/>
    </xf>
    <xf numFmtId="0" fontId="67" fillId="2" borderId="2" xfId="0" applyFont="1" applyFill="1" applyBorder="1" applyAlignment="1">
      <alignment horizontal="center" vertical="center" wrapText="1"/>
    </xf>
    <xf numFmtId="0" fontId="67" fillId="2" borderId="9" xfId="0" applyFont="1" applyFill="1" applyBorder="1" applyAlignment="1">
      <alignment horizontal="center" vertical="center" wrapText="1"/>
    </xf>
    <xf numFmtId="0" fontId="67" fillId="2" borderId="3" xfId="0" applyFont="1" applyFill="1" applyBorder="1" applyAlignment="1">
      <alignment horizontal="center" vertical="center" wrapText="1"/>
    </xf>
    <xf numFmtId="0" fontId="67" fillId="2" borderId="4" xfId="0" applyFont="1" applyFill="1" applyBorder="1" applyAlignment="1">
      <alignment horizontal="center" vertical="center" wrapText="1"/>
    </xf>
    <xf numFmtId="0" fontId="67" fillId="2" borderId="21" xfId="0" applyFont="1" applyFill="1" applyBorder="1" applyAlignment="1">
      <alignment horizontal="center" vertical="center" wrapText="1"/>
    </xf>
    <xf numFmtId="0" fontId="67" fillId="2" borderId="0" xfId="0" applyFont="1" applyFill="1" applyAlignment="1">
      <alignment horizontal="center" vertical="center"/>
    </xf>
    <xf numFmtId="0" fontId="67" fillId="2" borderId="7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right"/>
    </xf>
    <xf numFmtId="0" fontId="32" fillId="2" borderId="0" xfId="0" applyFont="1" applyFill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/>
    <xf numFmtId="0" fontId="31" fillId="2" borderId="7" xfId="0" applyFont="1" applyFill="1" applyBorder="1" applyAlignment="1">
      <alignment horizontal="center" vertical="center" wrapText="1"/>
    </xf>
    <xf numFmtId="0" fontId="44" fillId="0" borderId="40" xfId="0" applyFont="1" applyBorder="1" applyAlignment="1">
      <alignment horizontal="center" wrapText="1"/>
    </xf>
    <xf numFmtId="0" fontId="44" fillId="0" borderId="19" xfId="0" applyFont="1" applyBorder="1" applyAlignment="1">
      <alignment horizontal="center" wrapText="1"/>
    </xf>
    <xf numFmtId="0" fontId="45" fillId="0" borderId="40" xfId="0" applyFont="1" applyBorder="1" applyAlignment="1">
      <alignment horizontal="center" wrapText="1"/>
    </xf>
    <xf numFmtId="0" fontId="45" fillId="0" borderId="19" xfId="0" applyFont="1" applyBorder="1" applyAlignment="1">
      <alignment horizontal="center" wrapText="1"/>
    </xf>
    <xf numFmtId="0" fontId="36" fillId="0" borderId="35" xfId="0" applyFont="1" applyBorder="1" applyAlignment="1">
      <alignment horizontal="center" wrapText="1"/>
    </xf>
    <xf numFmtId="0" fontId="36" fillId="0" borderId="36" xfId="0" applyFont="1" applyBorder="1" applyAlignment="1">
      <alignment horizontal="center" wrapText="1"/>
    </xf>
    <xf numFmtId="0" fontId="44" fillId="0" borderId="35" xfId="0" applyFont="1" applyBorder="1" applyAlignment="1">
      <alignment horizontal="center" wrapText="1"/>
    </xf>
    <xf numFmtId="0" fontId="44" fillId="0" borderId="22" xfId="0" applyFont="1" applyBorder="1" applyAlignment="1">
      <alignment horizontal="center" wrapText="1"/>
    </xf>
    <xf numFmtId="0" fontId="44" fillId="0" borderId="10" xfId="0" applyFont="1" applyBorder="1" applyAlignment="1">
      <alignment horizontal="center" wrapText="1"/>
    </xf>
    <xf numFmtId="0" fontId="44" fillId="0" borderId="11" xfId="0" applyFont="1" applyBorder="1" applyAlignment="1">
      <alignment horizontal="center" wrapText="1"/>
    </xf>
    <xf numFmtId="0" fontId="44" fillId="0" borderId="39" xfId="0" applyFont="1" applyBorder="1" applyAlignment="1">
      <alignment horizontal="center" wrapText="1"/>
    </xf>
    <xf numFmtId="0" fontId="44" fillId="0" borderId="23" xfId="0" applyFont="1" applyBorder="1" applyAlignment="1">
      <alignment horizontal="center" wrapText="1"/>
    </xf>
    <xf numFmtId="0" fontId="30" fillId="0" borderId="35" xfId="0" applyFont="1" applyBorder="1" applyAlignment="1">
      <alignment horizontal="center" wrapText="1"/>
    </xf>
    <xf numFmtId="0" fontId="30" fillId="0" borderId="44" xfId="0" applyFont="1" applyBorder="1" applyAlignment="1">
      <alignment horizontal="center" wrapText="1"/>
    </xf>
    <xf numFmtId="0" fontId="30" fillId="0" borderId="22" xfId="0" applyFont="1" applyBorder="1" applyAlignment="1">
      <alignment horizontal="center" wrapText="1"/>
    </xf>
    <xf numFmtId="0" fontId="53" fillId="0" borderId="35" xfId="0" applyFont="1" applyBorder="1" applyAlignment="1">
      <alignment horizontal="center" wrapText="1"/>
    </xf>
    <xf numFmtId="0" fontId="53" fillId="0" borderId="22" xfId="0" applyFont="1" applyBorder="1" applyAlignment="1">
      <alignment horizontal="center" wrapText="1"/>
    </xf>
    <xf numFmtId="0" fontId="30" fillId="0" borderId="40" xfId="0" applyFont="1" applyBorder="1" applyAlignment="1">
      <alignment horizontal="center"/>
    </xf>
    <xf numFmtId="0" fontId="30" fillId="0" borderId="43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35" xfId="0" applyFont="1" applyBorder="1" applyAlignment="1">
      <alignment horizontal="center" vertical="top" wrapText="1"/>
    </xf>
    <xf numFmtId="0" fontId="30" fillId="0" borderId="44" xfId="0" applyFont="1" applyBorder="1" applyAlignment="1">
      <alignment horizontal="center" vertical="top" wrapText="1"/>
    </xf>
    <xf numFmtId="0" fontId="30" fillId="0" borderId="22" xfId="0" applyFont="1" applyBorder="1" applyAlignment="1">
      <alignment horizontal="center" vertical="top" wrapText="1"/>
    </xf>
    <xf numFmtId="0" fontId="30" fillId="0" borderId="35" xfId="0" applyFont="1" applyBorder="1" applyAlignment="1">
      <alignment horizontal="center"/>
    </xf>
    <xf numFmtId="0" fontId="30" fillId="0" borderId="44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40" xfId="0" applyFont="1" applyBorder="1" applyAlignment="1">
      <alignment horizontal="center" vertical="top" wrapText="1"/>
    </xf>
    <xf numFmtId="0" fontId="30" fillId="0" borderId="43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 wrapText="1"/>
    </xf>
    <xf numFmtId="0" fontId="30" fillId="0" borderId="40" xfId="0" applyFont="1" applyBorder="1" applyAlignment="1">
      <alignment horizontal="center" wrapText="1"/>
    </xf>
    <xf numFmtId="0" fontId="30" fillId="0" borderId="43" xfId="0" applyFont="1" applyBorder="1" applyAlignment="1">
      <alignment horizontal="center" wrapText="1"/>
    </xf>
    <xf numFmtId="0" fontId="30" fillId="0" borderId="19" xfId="0" applyFont="1" applyBorder="1" applyAlignment="1">
      <alignment horizontal="center" wrapText="1"/>
    </xf>
    <xf numFmtId="0" fontId="57" fillId="10" borderId="1" xfId="5" applyFont="1" applyFill="1" applyBorder="1" applyAlignment="1">
      <alignment horizontal="center" vertical="center"/>
    </xf>
    <xf numFmtId="0" fontId="57" fillId="10" borderId="2" xfId="5" applyFont="1" applyFill="1" applyBorder="1" applyAlignment="1">
      <alignment horizontal="center" vertical="center"/>
    </xf>
    <xf numFmtId="0" fontId="57" fillId="10" borderId="9" xfId="5" applyFont="1" applyFill="1" applyBorder="1" applyAlignment="1">
      <alignment horizontal="center" vertical="center"/>
    </xf>
    <xf numFmtId="0" fontId="57" fillId="10" borderId="3" xfId="5" applyFont="1" applyFill="1" applyBorder="1" applyAlignment="1">
      <alignment horizontal="center" vertical="center"/>
    </xf>
    <xf numFmtId="0" fontId="57" fillId="0" borderId="5" xfId="5" applyFont="1" applyBorder="1" applyAlignment="1">
      <alignment horizontal="center" vertical="center"/>
    </xf>
    <xf numFmtId="0" fontId="57" fillId="0" borderId="6" xfId="5" applyFont="1" applyBorder="1" applyAlignment="1">
      <alignment horizontal="center" vertical="center"/>
    </xf>
    <xf numFmtId="0" fontId="57" fillId="0" borderId="7" xfId="5" applyFont="1" applyBorder="1" applyAlignment="1">
      <alignment horizontal="center" vertical="center"/>
    </xf>
    <xf numFmtId="0" fontId="57" fillId="10" borderId="21" xfId="5" applyFont="1" applyFill="1" applyBorder="1" applyAlignment="1">
      <alignment horizontal="center" vertical="center"/>
    </xf>
    <xf numFmtId="0" fontId="57" fillId="10" borderId="46" xfId="5" applyFont="1" applyFill="1" applyBorder="1" applyAlignment="1">
      <alignment horizontal="center" vertical="center"/>
    </xf>
    <xf numFmtId="0" fontId="57" fillId="10" borderId="47" xfId="5" applyFont="1" applyFill="1" applyBorder="1" applyAlignment="1">
      <alignment horizontal="center" vertical="center"/>
    </xf>
    <xf numFmtId="0" fontId="57" fillId="0" borderId="1" xfId="5" applyFont="1" applyBorder="1" applyAlignment="1">
      <alignment horizontal="center"/>
    </xf>
    <xf numFmtId="0" fontId="56" fillId="0" borderId="0" xfId="5" applyFont="1" applyAlignment="1">
      <alignment horizontal="center"/>
    </xf>
  </cellXfs>
  <cellStyles count="8">
    <cellStyle name="Обычный" xfId="0" builtinId="0"/>
    <cellStyle name="Обычный 10" xfId="2" xr:uid="{00000000-0005-0000-0000-000001000000}"/>
    <cellStyle name="Обычный 10 2 2" xfId="3" xr:uid="{00000000-0005-0000-0000-000002000000}"/>
    <cellStyle name="Обычный 2" xfId="1" xr:uid="{00000000-0005-0000-0000-000003000000}"/>
    <cellStyle name="Обычный 6" xfId="5" xr:uid="{00000000-0005-0000-0000-000004000000}"/>
    <cellStyle name="Процентный 3" xfId="7" xr:uid="{00000000-0005-0000-0000-000005000000}"/>
    <cellStyle name="Финансовый" xfId="4" builtinId="3"/>
    <cellStyle name="Финансовый 4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1045;&#1083;&#1077;&#1085;&#1072;\Documents\&#1050;&#1054;&#1053;&#1062;&#1045;&#1057;&#1057;&#1048;&#1048;\&#1042;&#1077;&#1088;&#1093;&#1085;&#1080;&#1081;%20&#1051;&#1072;&#1085;&#1076;&#1077;&#1093;\&#1050;&#1057;_&#1042;&#1045;&#1056;&#1061;&#1053;&#1048;&#1049;%20&#1051;&#1072;&#1085;&#1076;&#1077;&#1093;\3_&#1050;&#1057;_&#1042;&#1051;_&#1087;&#1086;%20&#1044;&#1055;&#1056;%20&#1044;&#1069;&#1080;&#1058;_15.08.2024\1_&#1052;&#1086;&#1076;&#1077;&#1083;&#1100;%20&#1090;&#1072;&#1088;&#1080;&#1092;&#1072;_&#1050;&#1057;%20&#1042;&#1051;_30.07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Frank\Documents\&#1052;&#1080;&#1093;&#1072;&#1083;&#1077;&#1074;&#1086;\&#1074;&#1072;&#1088;&#1080;&#1072;&#1085;&#1090;_%20&#1080;&#1102;&#1083;&#1100;%202021\&#1052;&#1086;&#1076;&#1077;&#1083;&#1100;%20&#1090;&#1072;&#1088;&#1080;&#1092;&#1086;&#1086;&#1073;&#1088;&#1072;&#1079;&#1086;&#1074;&#1072;&#1085;&#1080;&#1103;%20&#1041;&#1052;&#1050;%20&#1052;&#1080;&#1093;&#1072;&#1083;&#1077;&#1074;&#1086;_01%20&#1080;&#1102;&#1083;&#1103;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Frank\Documents\&#1058;&#1072;&#1088;&#1080;&#1092;%202021\&#1053;&#1058;&#1057;\&#1048;&#1085;&#1074;&#1077;&#1089;&#1090;&#1087;&#1088;&#1086;&#1075;&#1088;&#1072;&#1084;&#1084;&#1072;\&#1056;&#1072;&#1089;&#1095;&#1077;&#1090;%20&#1072;&#1084;&#1086;&#1088;&#1090;&#1080;&#1079;&#1072;&#1094;&#1080;&#1080;%20&#1080;%20%25%20&#1054;&#1054;&#1054;%20&#1053;&#1058;&#1057;%2023.03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инд_ТС"/>
      <sheetName val="Кинд_кот"/>
      <sheetName val="Кинд_БМК"/>
      <sheetName val="Лист1"/>
      <sheetName val=" Расчет НВВ"/>
      <sheetName val="Анализ"/>
      <sheetName val=" Прил. 6.1кот1-у"/>
      <sheetName val=" Прил. 6.2кот1-г"/>
      <sheetName val=" Прил. 6.3.тс-1"/>
      <sheetName val=" Прил. 6.4 кот2-у"/>
      <sheetName val=" Прил. 6.5 кот2-г"/>
      <sheetName val=" Прил. 6.6.тс-2"/>
      <sheetName val="Прил.6.7 кот-3-м"/>
      <sheetName val="Прил 6.8 кот-3-г"/>
      <sheetName val="Прил.6.9 тс-3"/>
      <sheetName val="Прил 6.10 кот-4-у"/>
      <sheetName val="Прил 6.11 кот-4-г"/>
      <sheetName val="Прил 6.12 тс-4"/>
      <sheetName val="Прил_5"/>
      <sheetName val="Прил_9"/>
      <sheetName val="ИФ"/>
      <sheetName val="План меропр_1"/>
      <sheetName val="ИП_1"/>
      <sheetName val="%_1"/>
      <sheetName val="План меропр_2"/>
      <sheetName val="ИП_2"/>
      <sheetName val="%_2"/>
      <sheetName val="План меропр_3"/>
      <sheetName val="ИП_3"/>
      <sheetName val="%_3"/>
      <sheetName val="План меропр_4"/>
      <sheetName val="ИП_4"/>
      <sheetName val="%_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7">
          <cell r="A7" t="str">
            <v>Котельная №1  расположенная по адресу: ул. Новая 1а. Кадастровый номер: 37:01:020304:269 от 03.04.2014 (389,6 кв.м)</v>
          </cell>
        </row>
        <row r="55">
          <cell r="H55">
            <v>2025</v>
          </cell>
        </row>
        <row r="58">
          <cell r="H58">
            <v>2026</v>
          </cell>
        </row>
      </sheetData>
      <sheetData sheetId="22" refreshError="1"/>
      <sheetData sheetId="23" refreshError="1">
        <row r="5">
          <cell r="F5" t="str">
            <v>тыс. руб.</v>
          </cell>
        </row>
        <row r="8">
          <cell r="A8" t="str">
            <v>Плата концедента (01.11.2026)</v>
          </cell>
        </row>
      </sheetData>
      <sheetData sheetId="24" refreshError="1">
        <row r="7">
          <cell r="A7" t="str">
            <v>Котельная №2 расположенная по адресу: ул. Октябрьская (ЦРБ). Кадастровый номер: 37:01:000000:537 от 06.06.2014 (174,6 кв.м)</v>
          </cell>
        </row>
        <row r="24">
          <cell r="L24">
            <v>13029.766</v>
          </cell>
        </row>
        <row r="28">
          <cell r="I28">
            <v>2025</v>
          </cell>
        </row>
        <row r="31">
          <cell r="I31">
            <v>2026</v>
          </cell>
        </row>
      </sheetData>
      <sheetData sheetId="25" refreshError="1">
        <row r="2">
          <cell r="A2" t="str">
            <v>в отношении объектов теплоснабжения, находящихся в муниципальной собственности Администрации Верхнеландеховского муниципального района Ивановской области</v>
          </cell>
        </row>
        <row r="8">
          <cell r="G8">
            <v>13029.766</v>
          </cell>
        </row>
      </sheetData>
      <sheetData sheetId="26" refreshError="1"/>
      <sheetData sheetId="27" refreshError="1">
        <row r="7">
          <cell r="A7" t="str">
            <v>Котельная №3  расположенная по адресу: ул. Строителей. Кадастровый номер: 37:01:020206:50 от 06.06.2014 (210 кв.м)</v>
          </cell>
        </row>
        <row r="40">
          <cell r="L40">
            <v>42242.846999999994</v>
          </cell>
        </row>
        <row r="43">
          <cell r="I43">
            <v>2025</v>
          </cell>
        </row>
        <row r="46">
          <cell r="I46">
            <v>2027</v>
          </cell>
        </row>
      </sheetData>
      <sheetData sheetId="28" refreshError="1"/>
      <sheetData sheetId="29" refreshError="1"/>
      <sheetData sheetId="30" refreshError="1">
        <row r="7">
          <cell r="A7" t="str">
            <v>Котельная №4  расположенная по адресу: пер. Школьный. Кадастровый номер: 37:01:0102:10 от 23.04.2014 (99,1 кв.м)</v>
          </cell>
        </row>
        <row r="24">
          <cell r="L24">
            <v>12255.412</v>
          </cell>
        </row>
        <row r="28">
          <cell r="I28">
            <v>2025</v>
          </cell>
        </row>
        <row r="31">
          <cell r="I31">
            <v>2027</v>
          </cell>
        </row>
      </sheetData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1"/>
      <sheetName val="П 5 Задание"/>
      <sheetName val="П6"/>
      <sheetName val="П 7 показатели"/>
      <sheetName val="П7 План НВВ"/>
      <sheetName val="П9 финплан"/>
      <sheetName val="Тариф БМК Михалево"/>
      <sheetName val="ИНВЕСТ "/>
      <sheetName val="% займ"/>
      <sheetName val="Баланс по теплу"/>
      <sheetName val="Баланс по топливу"/>
      <sheetName val="Затраты электроэнергии"/>
      <sheetName val="Вода"/>
      <sheetName val="норматив АУП (2)"/>
      <sheetName val="ШР"/>
      <sheetName val="обуч"/>
      <sheetName val="РУПХ"/>
      <sheetName val="Лист2"/>
      <sheetName val="потер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1">
          <cell r="T11">
            <v>0</v>
          </cell>
          <cell r="W11">
            <v>0</v>
          </cell>
        </row>
        <row r="16">
          <cell r="B16" t="str">
            <v>5 этап (рекоснрукция оборудования БМК по истечении СПИ)</v>
          </cell>
        </row>
        <row r="17">
          <cell r="B17" t="str">
            <v>6 этап (рекоснрукция тепловых сетей и сетей гвс в связи с истечением СПИ)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м"/>
      <sheetName val="налог"/>
      <sheetName val="Мероприятия упрощенно"/>
      <sheetName val="% займ"/>
    </sheetNames>
    <sheetDataSet>
      <sheetData sheetId="0" refreshError="1"/>
      <sheetData sheetId="1" refreshError="1"/>
      <sheetData sheetId="2" refreshError="1">
        <row r="8">
          <cell r="M8">
            <v>4201.8379771423042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7"/>
  <sheetViews>
    <sheetView workbookViewId="0">
      <selection activeCell="D36" sqref="D36:R38"/>
    </sheetView>
  </sheetViews>
  <sheetFormatPr defaultRowHeight="15" x14ac:dyDescent="0.25"/>
  <cols>
    <col min="1" max="1" width="6.28515625" style="76" customWidth="1"/>
    <col min="2" max="2" width="50.28515625" style="77" customWidth="1"/>
    <col min="3" max="3" width="13.28515625" style="76" customWidth="1"/>
    <col min="4" max="4" width="13.42578125" style="78" customWidth="1"/>
    <col min="5" max="5" width="13.42578125" style="76" customWidth="1"/>
    <col min="6" max="6" width="11.140625" style="78" customWidth="1"/>
    <col min="7" max="8" width="11.7109375" style="76" customWidth="1"/>
    <col min="9" max="9" width="13.85546875" style="79" customWidth="1"/>
    <col min="10" max="10" width="15.28515625" style="78" customWidth="1"/>
    <col min="11" max="11" width="11.7109375" style="78" customWidth="1"/>
    <col min="12" max="13" width="11.7109375" style="76" customWidth="1"/>
    <col min="14" max="18" width="14.140625" style="76" customWidth="1"/>
    <col min="19" max="19" width="9.5703125" style="76" bestFit="1" customWidth="1"/>
    <col min="20" max="254" width="9.140625" style="76"/>
    <col min="255" max="255" width="6.28515625" style="76" customWidth="1"/>
    <col min="256" max="256" width="50.28515625" style="76" customWidth="1"/>
    <col min="257" max="257" width="13.28515625" style="76" customWidth="1"/>
    <col min="258" max="259" width="13.42578125" style="76" customWidth="1"/>
    <col min="260" max="260" width="11.140625" style="76" customWidth="1"/>
    <col min="261" max="262" width="11.7109375" style="76" customWidth="1"/>
    <col min="263" max="263" width="13.85546875" style="76" customWidth="1"/>
    <col min="264" max="264" width="15.28515625" style="76" customWidth="1"/>
    <col min="265" max="267" width="11.7109375" style="76" customWidth="1"/>
    <col min="268" max="274" width="14.140625" style="76" customWidth="1"/>
    <col min="275" max="275" width="9.5703125" style="76" bestFit="1" customWidth="1"/>
    <col min="276" max="510" width="9.140625" style="76"/>
    <col min="511" max="511" width="6.28515625" style="76" customWidth="1"/>
    <col min="512" max="512" width="50.28515625" style="76" customWidth="1"/>
    <col min="513" max="513" width="13.28515625" style="76" customWidth="1"/>
    <col min="514" max="515" width="13.42578125" style="76" customWidth="1"/>
    <col min="516" max="516" width="11.140625" style="76" customWidth="1"/>
    <col min="517" max="518" width="11.7109375" style="76" customWidth="1"/>
    <col min="519" max="519" width="13.85546875" style="76" customWidth="1"/>
    <col min="520" max="520" width="15.28515625" style="76" customWidth="1"/>
    <col min="521" max="523" width="11.7109375" style="76" customWidth="1"/>
    <col min="524" max="530" width="14.140625" style="76" customWidth="1"/>
    <col min="531" max="531" width="9.5703125" style="76" bestFit="1" customWidth="1"/>
    <col min="532" max="766" width="9.140625" style="76"/>
    <col min="767" max="767" width="6.28515625" style="76" customWidth="1"/>
    <col min="768" max="768" width="50.28515625" style="76" customWidth="1"/>
    <col min="769" max="769" width="13.28515625" style="76" customWidth="1"/>
    <col min="770" max="771" width="13.42578125" style="76" customWidth="1"/>
    <col min="772" max="772" width="11.140625" style="76" customWidth="1"/>
    <col min="773" max="774" width="11.7109375" style="76" customWidth="1"/>
    <col min="775" max="775" width="13.85546875" style="76" customWidth="1"/>
    <col min="776" max="776" width="15.28515625" style="76" customWidth="1"/>
    <col min="777" max="779" width="11.7109375" style="76" customWidth="1"/>
    <col min="780" max="786" width="14.140625" style="76" customWidth="1"/>
    <col min="787" max="787" width="9.5703125" style="76" bestFit="1" customWidth="1"/>
    <col min="788" max="1022" width="9.140625" style="76"/>
    <col min="1023" max="1023" width="6.28515625" style="76" customWidth="1"/>
    <col min="1024" max="1024" width="50.28515625" style="76" customWidth="1"/>
    <col min="1025" max="1025" width="13.28515625" style="76" customWidth="1"/>
    <col min="1026" max="1027" width="13.42578125" style="76" customWidth="1"/>
    <col min="1028" max="1028" width="11.140625" style="76" customWidth="1"/>
    <col min="1029" max="1030" width="11.7109375" style="76" customWidth="1"/>
    <col min="1031" max="1031" width="13.85546875" style="76" customWidth="1"/>
    <col min="1032" max="1032" width="15.28515625" style="76" customWidth="1"/>
    <col min="1033" max="1035" width="11.7109375" style="76" customWidth="1"/>
    <col min="1036" max="1042" width="14.140625" style="76" customWidth="1"/>
    <col min="1043" max="1043" width="9.5703125" style="76" bestFit="1" customWidth="1"/>
    <col min="1044" max="1278" width="9.140625" style="76"/>
    <col min="1279" max="1279" width="6.28515625" style="76" customWidth="1"/>
    <col min="1280" max="1280" width="50.28515625" style="76" customWidth="1"/>
    <col min="1281" max="1281" width="13.28515625" style="76" customWidth="1"/>
    <col min="1282" max="1283" width="13.42578125" style="76" customWidth="1"/>
    <col min="1284" max="1284" width="11.140625" style="76" customWidth="1"/>
    <col min="1285" max="1286" width="11.7109375" style="76" customWidth="1"/>
    <col min="1287" max="1287" width="13.85546875" style="76" customWidth="1"/>
    <col min="1288" max="1288" width="15.28515625" style="76" customWidth="1"/>
    <col min="1289" max="1291" width="11.7109375" style="76" customWidth="1"/>
    <col min="1292" max="1298" width="14.140625" style="76" customWidth="1"/>
    <col min="1299" max="1299" width="9.5703125" style="76" bestFit="1" customWidth="1"/>
    <col min="1300" max="1534" width="9.140625" style="76"/>
    <col min="1535" max="1535" width="6.28515625" style="76" customWidth="1"/>
    <col min="1536" max="1536" width="50.28515625" style="76" customWidth="1"/>
    <col min="1537" max="1537" width="13.28515625" style="76" customWidth="1"/>
    <col min="1538" max="1539" width="13.42578125" style="76" customWidth="1"/>
    <col min="1540" max="1540" width="11.140625" style="76" customWidth="1"/>
    <col min="1541" max="1542" width="11.7109375" style="76" customWidth="1"/>
    <col min="1543" max="1543" width="13.85546875" style="76" customWidth="1"/>
    <col min="1544" max="1544" width="15.28515625" style="76" customWidth="1"/>
    <col min="1545" max="1547" width="11.7109375" style="76" customWidth="1"/>
    <col min="1548" max="1554" width="14.140625" style="76" customWidth="1"/>
    <col min="1555" max="1555" width="9.5703125" style="76" bestFit="1" customWidth="1"/>
    <col min="1556" max="1790" width="9.140625" style="76"/>
    <col min="1791" max="1791" width="6.28515625" style="76" customWidth="1"/>
    <col min="1792" max="1792" width="50.28515625" style="76" customWidth="1"/>
    <col min="1793" max="1793" width="13.28515625" style="76" customWidth="1"/>
    <col min="1794" max="1795" width="13.42578125" style="76" customWidth="1"/>
    <col min="1796" max="1796" width="11.140625" style="76" customWidth="1"/>
    <col min="1797" max="1798" width="11.7109375" style="76" customWidth="1"/>
    <col min="1799" max="1799" width="13.85546875" style="76" customWidth="1"/>
    <col min="1800" max="1800" width="15.28515625" style="76" customWidth="1"/>
    <col min="1801" max="1803" width="11.7109375" style="76" customWidth="1"/>
    <col min="1804" max="1810" width="14.140625" style="76" customWidth="1"/>
    <col min="1811" max="1811" width="9.5703125" style="76" bestFit="1" customWidth="1"/>
    <col min="1812" max="2046" width="9.140625" style="76"/>
    <col min="2047" max="2047" width="6.28515625" style="76" customWidth="1"/>
    <col min="2048" max="2048" width="50.28515625" style="76" customWidth="1"/>
    <col min="2049" max="2049" width="13.28515625" style="76" customWidth="1"/>
    <col min="2050" max="2051" width="13.42578125" style="76" customWidth="1"/>
    <col min="2052" max="2052" width="11.140625" style="76" customWidth="1"/>
    <col min="2053" max="2054" width="11.7109375" style="76" customWidth="1"/>
    <col min="2055" max="2055" width="13.85546875" style="76" customWidth="1"/>
    <col min="2056" max="2056" width="15.28515625" style="76" customWidth="1"/>
    <col min="2057" max="2059" width="11.7109375" style="76" customWidth="1"/>
    <col min="2060" max="2066" width="14.140625" style="76" customWidth="1"/>
    <col min="2067" max="2067" width="9.5703125" style="76" bestFit="1" customWidth="1"/>
    <col min="2068" max="2302" width="9.140625" style="76"/>
    <col min="2303" max="2303" width="6.28515625" style="76" customWidth="1"/>
    <col min="2304" max="2304" width="50.28515625" style="76" customWidth="1"/>
    <col min="2305" max="2305" width="13.28515625" style="76" customWidth="1"/>
    <col min="2306" max="2307" width="13.42578125" style="76" customWidth="1"/>
    <col min="2308" max="2308" width="11.140625" style="76" customWidth="1"/>
    <col min="2309" max="2310" width="11.7109375" style="76" customWidth="1"/>
    <col min="2311" max="2311" width="13.85546875" style="76" customWidth="1"/>
    <col min="2312" max="2312" width="15.28515625" style="76" customWidth="1"/>
    <col min="2313" max="2315" width="11.7109375" style="76" customWidth="1"/>
    <col min="2316" max="2322" width="14.140625" style="76" customWidth="1"/>
    <col min="2323" max="2323" width="9.5703125" style="76" bestFit="1" customWidth="1"/>
    <col min="2324" max="2558" width="9.140625" style="76"/>
    <col min="2559" max="2559" width="6.28515625" style="76" customWidth="1"/>
    <col min="2560" max="2560" width="50.28515625" style="76" customWidth="1"/>
    <col min="2561" max="2561" width="13.28515625" style="76" customWidth="1"/>
    <col min="2562" max="2563" width="13.42578125" style="76" customWidth="1"/>
    <col min="2564" max="2564" width="11.140625" style="76" customWidth="1"/>
    <col min="2565" max="2566" width="11.7109375" style="76" customWidth="1"/>
    <col min="2567" max="2567" width="13.85546875" style="76" customWidth="1"/>
    <col min="2568" max="2568" width="15.28515625" style="76" customWidth="1"/>
    <col min="2569" max="2571" width="11.7109375" style="76" customWidth="1"/>
    <col min="2572" max="2578" width="14.140625" style="76" customWidth="1"/>
    <col min="2579" max="2579" width="9.5703125" style="76" bestFit="1" customWidth="1"/>
    <col min="2580" max="2814" width="9.140625" style="76"/>
    <col min="2815" max="2815" width="6.28515625" style="76" customWidth="1"/>
    <col min="2816" max="2816" width="50.28515625" style="76" customWidth="1"/>
    <col min="2817" max="2817" width="13.28515625" style="76" customWidth="1"/>
    <col min="2818" max="2819" width="13.42578125" style="76" customWidth="1"/>
    <col min="2820" max="2820" width="11.140625" style="76" customWidth="1"/>
    <col min="2821" max="2822" width="11.7109375" style="76" customWidth="1"/>
    <col min="2823" max="2823" width="13.85546875" style="76" customWidth="1"/>
    <col min="2824" max="2824" width="15.28515625" style="76" customWidth="1"/>
    <col min="2825" max="2827" width="11.7109375" style="76" customWidth="1"/>
    <col min="2828" max="2834" width="14.140625" style="76" customWidth="1"/>
    <col min="2835" max="2835" width="9.5703125" style="76" bestFit="1" customWidth="1"/>
    <col min="2836" max="3070" width="9.140625" style="76"/>
    <col min="3071" max="3071" width="6.28515625" style="76" customWidth="1"/>
    <col min="3072" max="3072" width="50.28515625" style="76" customWidth="1"/>
    <col min="3073" max="3073" width="13.28515625" style="76" customWidth="1"/>
    <col min="3074" max="3075" width="13.42578125" style="76" customWidth="1"/>
    <col min="3076" max="3076" width="11.140625" style="76" customWidth="1"/>
    <col min="3077" max="3078" width="11.7109375" style="76" customWidth="1"/>
    <col min="3079" max="3079" width="13.85546875" style="76" customWidth="1"/>
    <col min="3080" max="3080" width="15.28515625" style="76" customWidth="1"/>
    <col min="3081" max="3083" width="11.7109375" style="76" customWidth="1"/>
    <col min="3084" max="3090" width="14.140625" style="76" customWidth="1"/>
    <col min="3091" max="3091" width="9.5703125" style="76" bestFit="1" customWidth="1"/>
    <col min="3092" max="3326" width="9.140625" style="76"/>
    <col min="3327" max="3327" width="6.28515625" style="76" customWidth="1"/>
    <col min="3328" max="3328" width="50.28515625" style="76" customWidth="1"/>
    <col min="3329" max="3329" width="13.28515625" style="76" customWidth="1"/>
    <col min="3330" max="3331" width="13.42578125" style="76" customWidth="1"/>
    <col min="3332" max="3332" width="11.140625" style="76" customWidth="1"/>
    <col min="3333" max="3334" width="11.7109375" style="76" customWidth="1"/>
    <col min="3335" max="3335" width="13.85546875" style="76" customWidth="1"/>
    <col min="3336" max="3336" width="15.28515625" style="76" customWidth="1"/>
    <col min="3337" max="3339" width="11.7109375" style="76" customWidth="1"/>
    <col min="3340" max="3346" width="14.140625" style="76" customWidth="1"/>
    <col min="3347" max="3347" width="9.5703125" style="76" bestFit="1" customWidth="1"/>
    <col min="3348" max="3582" width="9.140625" style="76"/>
    <col min="3583" max="3583" width="6.28515625" style="76" customWidth="1"/>
    <col min="3584" max="3584" width="50.28515625" style="76" customWidth="1"/>
    <col min="3585" max="3585" width="13.28515625" style="76" customWidth="1"/>
    <col min="3586" max="3587" width="13.42578125" style="76" customWidth="1"/>
    <col min="3588" max="3588" width="11.140625" style="76" customWidth="1"/>
    <col min="3589" max="3590" width="11.7109375" style="76" customWidth="1"/>
    <col min="3591" max="3591" width="13.85546875" style="76" customWidth="1"/>
    <col min="3592" max="3592" width="15.28515625" style="76" customWidth="1"/>
    <col min="3593" max="3595" width="11.7109375" style="76" customWidth="1"/>
    <col min="3596" max="3602" width="14.140625" style="76" customWidth="1"/>
    <col min="3603" max="3603" width="9.5703125" style="76" bestFit="1" customWidth="1"/>
    <col min="3604" max="3838" width="9.140625" style="76"/>
    <col min="3839" max="3839" width="6.28515625" style="76" customWidth="1"/>
    <col min="3840" max="3840" width="50.28515625" style="76" customWidth="1"/>
    <col min="3841" max="3841" width="13.28515625" style="76" customWidth="1"/>
    <col min="3842" max="3843" width="13.42578125" style="76" customWidth="1"/>
    <col min="3844" max="3844" width="11.140625" style="76" customWidth="1"/>
    <col min="3845" max="3846" width="11.7109375" style="76" customWidth="1"/>
    <col min="3847" max="3847" width="13.85546875" style="76" customWidth="1"/>
    <col min="3848" max="3848" width="15.28515625" style="76" customWidth="1"/>
    <col min="3849" max="3851" width="11.7109375" style="76" customWidth="1"/>
    <col min="3852" max="3858" width="14.140625" style="76" customWidth="1"/>
    <col min="3859" max="3859" width="9.5703125" style="76" bestFit="1" customWidth="1"/>
    <col min="3860" max="4094" width="9.140625" style="76"/>
    <col min="4095" max="4095" width="6.28515625" style="76" customWidth="1"/>
    <col min="4096" max="4096" width="50.28515625" style="76" customWidth="1"/>
    <col min="4097" max="4097" width="13.28515625" style="76" customWidth="1"/>
    <col min="4098" max="4099" width="13.42578125" style="76" customWidth="1"/>
    <col min="4100" max="4100" width="11.140625" style="76" customWidth="1"/>
    <col min="4101" max="4102" width="11.7109375" style="76" customWidth="1"/>
    <col min="4103" max="4103" width="13.85546875" style="76" customWidth="1"/>
    <col min="4104" max="4104" width="15.28515625" style="76" customWidth="1"/>
    <col min="4105" max="4107" width="11.7109375" style="76" customWidth="1"/>
    <col min="4108" max="4114" width="14.140625" style="76" customWidth="1"/>
    <col min="4115" max="4115" width="9.5703125" style="76" bestFit="1" customWidth="1"/>
    <col min="4116" max="4350" width="9.140625" style="76"/>
    <col min="4351" max="4351" width="6.28515625" style="76" customWidth="1"/>
    <col min="4352" max="4352" width="50.28515625" style="76" customWidth="1"/>
    <col min="4353" max="4353" width="13.28515625" style="76" customWidth="1"/>
    <col min="4354" max="4355" width="13.42578125" style="76" customWidth="1"/>
    <col min="4356" max="4356" width="11.140625" style="76" customWidth="1"/>
    <col min="4357" max="4358" width="11.7109375" style="76" customWidth="1"/>
    <col min="4359" max="4359" width="13.85546875" style="76" customWidth="1"/>
    <col min="4360" max="4360" width="15.28515625" style="76" customWidth="1"/>
    <col min="4361" max="4363" width="11.7109375" style="76" customWidth="1"/>
    <col min="4364" max="4370" width="14.140625" style="76" customWidth="1"/>
    <col min="4371" max="4371" width="9.5703125" style="76" bestFit="1" customWidth="1"/>
    <col min="4372" max="4606" width="9.140625" style="76"/>
    <col min="4607" max="4607" width="6.28515625" style="76" customWidth="1"/>
    <col min="4608" max="4608" width="50.28515625" style="76" customWidth="1"/>
    <col min="4609" max="4609" width="13.28515625" style="76" customWidth="1"/>
    <col min="4610" max="4611" width="13.42578125" style="76" customWidth="1"/>
    <col min="4612" max="4612" width="11.140625" style="76" customWidth="1"/>
    <col min="4613" max="4614" width="11.7109375" style="76" customWidth="1"/>
    <col min="4615" max="4615" width="13.85546875" style="76" customWidth="1"/>
    <col min="4616" max="4616" width="15.28515625" style="76" customWidth="1"/>
    <col min="4617" max="4619" width="11.7109375" style="76" customWidth="1"/>
    <col min="4620" max="4626" width="14.140625" style="76" customWidth="1"/>
    <col min="4627" max="4627" width="9.5703125" style="76" bestFit="1" customWidth="1"/>
    <col min="4628" max="4862" width="9.140625" style="76"/>
    <col min="4863" max="4863" width="6.28515625" style="76" customWidth="1"/>
    <col min="4864" max="4864" width="50.28515625" style="76" customWidth="1"/>
    <col min="4865" max="4865" width="13.28515625" style="76" customWidth="1"/>
    <col min="4866" max="4867" width="13.42578125" style="76" customWidth="1"/>
    <col min="4868" max="4868" width="11.140625" style="76" customWidth="1"/>
    <col min="4869" max="4870" width="11.7109375" style="76" customWidth="1"/>
    <col min="4871" max="4871" width="13.85546875" style="76" customWidth="1"/>
    <col min="4872" max="4872" width="15.28515625" style="76" customWidth="1"/>
    <col min="4873" max="4875" width="11.7109375" style="76" customWidth="1"/>
    <col min="4876" max="4882" width="14.140625" style="76" customWidth="1"/>
    <col min="4883" max="4883" width="9.5703125" style="76" bestFit="1" customWidth="1"/>
    <col min="4884" max="5118" width="9.140625" style="76"/>
    <col min="5119" max="5119" width="6.28515625" style="76" customWidth="1"/>
    <col min="5120" max="5120" width="50.28515625" style="76" customWidth="1"/>
    <col min="5121" max="5121" width="13.28515625" style="76" customWidth="1"/>
    <col min="5122" max="5123" width="13.42578125" style="76" customWidth="1"/>
    <col min="5124" max="5124" width="11.140625" style="76" customWidth="1"/>
    <col min="5125" max="5126" width="11.7109375" style="76" customWidth="1"/>
    <col min="5127" max="5127" width="13.85546875" style="76" customWidth="1"/>
    <col min="5128" max="5128" width="15.28515625" style="76" customWidth="1"/>
    <col min="5129" max="5131" width="11.7109375" style="76" customWidth="1"/>
    <col min="5132" max="5138" width="14.140625" style="76" customWidth="1"/>
    <col min="5139" max="5139" width="9.5703125" style="76" bestFit="1" customWidth="1"/>
    <col min="5140" max="5374" width="9.140625" style="76"/>
    <col min="5375" max="5375" width="6.28515625" style="76" customWidth="1"/>
    <col min="5376" max="5376" width="50.28515625" style="76" customWidth="1"/>
    <col min="5377" max="5377" width="13.28515625" style="76" customWidth="1"/>
    <col min="5378" max="5379" width="13.42578125" style="76" customWidth="1"/>
    <col min="5380" max="5380" width="11.140625" style="76" customWidth="1"/>
    <col min="5381" max="5382" width="11.7109375" style="76" customWidth="1"/>
    <col min="5383" max="5383" width="13.85546875" style="76" customWidth="1"/>
    <col min="5384" max="5384" width="15.28515625" style="76" customWidth="1"/>
    <col min="5385" max="5387" width="11.7109375" style="76" customWidth="1"/>
    <col min="5388" max="5394" width="14.140625" style="76" customWidth="1"/>
    <col min="5395" max="5395" width="9.5703125" style="76" bestFit="1" customWidth="1"/>
    <col min="5396" max="5630" width="9.140625" style="76"/>
    <col min="5631" max="5631" width="6.28515625" style="76" customWidth="1"/>
    <col min="5632" max="5632" width="50.28515625" style="76" customWidth="1"/>
    <col min="5633" max="5633" width="13.28515625" style="76" customWidth="1"/>
    <col min="5634" max="5635" width="13.42578125" style="76" customWidth="1"/>
    <col min="5636" max="5636" width="11.140625" style="76" customWidth="1"/>
    <col min="5637" max="5638" width="11.7109375" style="76" customWidth="1"/>
    <col min="5639" max="5639" width="13.85546875" style="76" customWidth="1"/>
    <col min="5640" max="5640" width="15.28515625" style="76" customWidth="1"/>
    <col min="5641" max="5643" width="11.7109375" style="76" customWidth="1"/>
    <col min="5644" max="5650" width="14.140625" style="76" customWidth="1"/>
    <col min="5651" max="5651" width="9.5703125" style="76" bestFit="1" customWidth="1"/>
    <col min="5652" max="5886" width="9.140625" style="76"/>
    <col min="5887" max="5887" width="6.28515625" style="76" customWidth="1"/>
    <col min="5888" max="5888" width="50.28515625" style="76" customWidth="1"/>
    <col min="5889" max="5889" width="13.28515625" style="76" customWidth="1"/>
    <col min="5890" max="5891" width="13.42578125" style="76" customWidth="1"/>
    <col min="5892" max="5892" width="11.140625" style="76" customWidth="1"/>
    <col min="5893" max="5894" width="11.7109375" style="76" customWidth="1"/>
    <col min="5895" max="5895" width="13.85546875" style="76" customWidth="1"/>
    <col min="5896" max="5896" width="15.28515625" style="76" customWidth="1"/>
    <col min="5897" max="5899" width="11.7109375" style="76" customWidth="1"/>
    <col min="5900" max="5906" width="14.140625" style="76" customWidth="1"/>
    <col min="5907" max="5907" width="9.5703125" style="76" bestFit="1" customWidth="1"/>
    <col min="5908" max="6142" width="9.140625" style="76"/>
    <col min="6143" max="6143" width="6.28515625" style="76" customWidth="1"/>
    <col min="6144" max="6144" width="50.28515625" style="76" customWidth="1"/>
    <col min="6145" max="6145" width="13.28515625" style="76" customWidth="1"/>
    <col min="6146" max="6147" width="13.42578125" style="76" customWidth="1"/>
    <col min="6148" max="6148" width="11.140625" style="76" customWidth="1"/>
    <col min="6149" max="6150" width="11.7109375" style="76" customWidth="1"/>
    <col min="6151" max="6151" width="13.85546875" style="76" customWidth="1"/>
    <col min="6152" max="6152" width="15.28515625" style="76" customWidth="1"/>
    <col min="6153" max="6155" width="11.7109375" style="76" customWidth="1"/>
    <col min="6156" max="6162" width="14.140625" style="76" customWidth="1"/>
    <col min="6163" max="6163" width="9.5703125" style="76" bestFit="1" customWidth="1"/>
    <col min="6164" max="6398" width="9.140625" style="76"/>
    <col min="6399" max="6399" width="6.28515625" style="76" customWidth="1"/>
    <col min="6400" max="6400" width="50.28515625" style="76" customWidth="1"/>
    <col min="6401" max="6401" width="13.28515625" style="76" customWidth="1"/>
    <col min="6402" max="6403" width="13.42578125" style="76" customWidth="1"/>
    <col min="6404" max="6404" width="11.140625" style="76" customWidth="1"/>
    <col min="6405" max="6406" width="11.7109375" style="76" customWidth="1"/>
    <col min="6407" max="6407" width="13.85546875" style="76" customWidth="1"/>
    <col min="6408" max="6408" width="15.28515625" style="76" customWidth="1"/>
    <col min="6409" max="6411" width="11.7109375" style="76" customWidth="1"/>
    <col min="6412" max="6418" width="14.140625" style="76" customWidth="1"/>
    <col min="6419" max="6419" width="9.5703125" style="76" bestFit="1" customWidth="1"/>
    <col min="6420" max="6654" width="9.140625" style="76"/>
    <col min="6655" max="6655" width="6.28515625" style="76" customWidth="1"/>
    <col min="6656" max="6656" width="50.28515625" style="76" customWidth="1"/>
    <col min="6657" max="6657" width="13.28515625" style="76" customWidth="1"/>
    <col min="6658" max="6659" width="13.42578125" style="76" customWidth="1"/>
    <col min="6660" max="6660" width="11.140625" style="76" customWidth="1"/>
    <col min="6661" max="6662" width="11.7109375" style="76" customWidth="1"/>
    <col min="6663" max="6663" width="13.85546875" style="76" customWidth="1"/>
    <col min="6664" max="6664" width="15.28515625" style="76" customWidth="1"/>
    <col min="6665" max="6667" width="11.7109375" style="76" customWidth="1"/>
    <col min="6668" max="6674" width="14.140625" style="76" customWidth="1"/>
    <col min="6675" max="6675" width="9.5703125" style="76" bestFit="1" customWidth="1"/>
    <col min="6676" max="6910" width="9.140625" style="76"/>
    <col min="6911" max="6911" width="6.28515625" style="76" customWidth="1"/>
    <col min="6912" max="6912" width="50.28515625" style="76" customWidth="1"/>
    <col min="6913" max="6913" width="13.28515625" style="76" customWidth="1"/>
    <col min="6914" max="6915" width="13.42578125" style="76" customWidth="1"/>
    <col min="6916" max="6916" width="11.140625" style="76" customWidth="1"/>
    <col min="6917" max="6918" width="11.7109375" style="76" customWidth="1"/>
    <col min="6919" max="6919" width="13.85546875" style="76" customWidth="1"/>
    <col min="6920" max="6920" width="15.28515625" style="76" customWidth="1"/>
    <col min="6921" max="6923" width="11.7109375" style="76" customWidth="1"/>
    <col min="6924" max="6930" width="14.140625" style="76" customWidth="1"/>
    <col min="6931" max="6931" width="9.5703125" style="76" bestFit="1" customWidth="1"/>
    <col min="6932" max="7166" width="9.140625" style="76"/>
    <col min="7167" max="7167" width="6.28515625" style="76" customWidth="1"/>
    <col min="7168" max="7168" width="50.28515625" style="76" customWidth="1"/>
    <col min="7169" max="7169" width="13.28515625" style="76" customWidth="1"/>
    <col min="7170" max="7171" width="13.42578125" style="76" customWidth="1"/>
    <col min="7172" max="7172" width="11.140625" style="76" customWidth="1"/>
    <col min="7173" max="7174" width="11.7109375" style="76" customWidth="1"/>
    <col min="7175" max="7175" width="13.85546875" style="76" customWidth="1"/>
    <col min="7176" max="7176" width="15.28515625" style="76" customWidth="1"/>
    <col min="7177" max="7179" width="11.7109375" style="76" customWidth="1"/>
    <col min="7180" max="7186" width="14.140625" style="76" customWidth="1"/>
    <col min="7187" max="7187" width="9.5703125" style="76" bestFit="1" customWidth="1"/>
    <col min="7188" max="7422" width="9.140625" style="76"/>
    <col min="7423" max="7423" width="6.28515625" style="76" customWidth="1"/>
    <col min="7424" max="7424" width="50.28515625" style="76" customWidth="1"/>
    <col min="7425" max="7425" width="13.28515625" style="76" customWidth="1"/>
    <col min="7426" max="7427" width="13.42578125" style="76" customWidth="1"/>
    <col min="7428" max="7428" width="11.140625" style="76" customWidth="1"/>
    <col min="7429" max="7430" width="11.7109375" style="76" customWidth="1"/>
    <col min="7431" max="7431" width="13.85546875" style="76" customWidth="1"/>
    <col min="7432" max="7432" width="15.28515625" style="76" customWidth="1"/>
    <col min="7433" max="7435" width="11.7109375" style="76" customWidth="1"/>
    <col min="7436" max="7442" width="14.140625" style="76" customWidth="1"/>
    <col min="7443" max="7443" width="9.5703125" style="76" bestFit="1" customWidth="1"/>
    <col min="7444" max="7678" width="9.140625" style="76"/>
    <col min="7679" max="7679" width="6.28515625" style="76" customWidth="1"/>
    <col min="7680" max="7680" width="50.28515625" style="76" customWidth="1"/>
    <col min="7681" max="7681" width="13.28515625" style="76" customWidth="1"/>
    <col min="7682" max="7683" width="13.42578125" style="76" customWidth="1"/>
    <col min="7684" max="7684" width="11.140625" style="76" customWidth="1"/>
    <col min="7685" max="7686" width="11.7109375" style="76" customWidth="1"/>
    <col min="7687" max="7687" width="13.85546875" style="76" customWidth="1"/>
    <col min="7688" max="7688" width="15.28515625" style="76" customWidth="1"/>
    <col min="7689" max="7691" width="11.7109375" style="76" customWidth="1"/>
    <col min="7692" max="7698" width="14.140625" style="76" customWidth="1"/>
    <col min="7699" max="7699" width="9.5703125" style="76" bestFit="1" customWidth="1"/>
    <col min="7700" max="7934" width="9.140625" style="76"/>
    <col min="7935" max="7935" width="6.28515625" style="76" customWidth="1"/>
    <col min="7936" max="7936" width="50.28515625" style="76" customWidth="1"/>
    <col min="7937" max="7937" width="13.28515625" style="76" customWidth="1"/>
    <col min="7938" max="7939" width="13.42578125" style="76" customWidth="1"/>
    <col min="7940" max="7940" width="11.140625" style="76" customWidth="1"/>
    <col min="7941" max="7942" width="11.7109375" style="76" customWidth="1"/>
    <col min="7943" max="7943" width="13.85546875" style="76" customWidth="1"/>
    <col min="7944" max="7944" width="15.28515625" style="76" customWidth="1"/>
    <col min="7945" max="7947" width="11.7109375" style="76" customWidth="1"/>
    <col min="7948" max="7954" width="14.140625" style="76" customWidth="1"/>
    <col min="7955" max="7955" width="9.5703125" style="76" bestFit="1" customWidth="1"/>
    <col min="7956" max="8190" width="9.140625" style="76"/>
    <col min="8191" max="8191" width="6.28515625" style="76" customWidth="1"/>
    <col min="8192" max="8192" width="50.28515625" style="76" customWidth="1"/>
    <col min="8193" max="8193" width="13.28515625" style="76" customWidth="1"/>
    <col min="8194" max="8195" width="13.42578125" style="76" customWidth="1"/>
    <col min="8196" max="8196" width="11.140625" style="76" customWidth="1"/>
    <col min="8197" max="8198" width="11.7109375" style="76" customWidth="1"/>
    <col min="8199" max="8199" width="13.85546875" style="76" customWidth="1"/>
    <col min="8200" max="8200" width="15.28515625" style="76" customWidth="1"/>
    <col min="8201" max="8203" width="11.7109375" style="76" customWidth="1"/>
    <col min="8204" max="8210" width="14.140625" style="76" customWidth="1"/>
    <col min="8211" max="8211" width="9.5703125" style="76" bestFit="1" customWidth="1"/>
    <col min="8212" max="8446" width="9.140625" style="76"/>
    <col min="8447" max="8447" width="6.28515625" style="76" customWidth="1"/>
    <col min="8448" max="8448" width="50.28515625" style="76" customWidth="1"/>
    <col min="8449" max="8449" width="13.28515625" style="76" customWidth="1"/>
    <col min="8450" max="8451" width="13.42578125" style="76" customWidth="1"/>
    <col min="8452" max="8452" width="11.140625" style="76" customWidth="1"/>
    <col min="8453" max="8454" width="11.7109375" style="76" customWidth="1"/>
    <col min="8455" max="8455" width="13.85546875" style="76" customWidth="1"/>
    <col min="8456" max="8456" width="15.28515625" style="76" customWidth="1"/>
    <col min="8457" max="8459" width="11.7109375" style="76" customWidth="1"/>
    <col min="8460" max="8466" width="14.140625" style="76" customWidth="1"/>
    <col min="8467" max="8467" width="9.5703125" style="76" bestFit="1" customWidth="1"/>
    <col min="8468" max="8702" width="9.140625" style="76"/>
    <col min="8703" max="8703" width="6.28515625" style="76" customWidth="1"/>
    <col min="8704" max="8704" width="50.28515625" style="76" customWidth="1"/>
    <col min="8705" max="8705" width="13.28515625" style="76" customWidth="1"/>
    <col min="8706" max="8707" width="13.42578125" style="76" customWidth="1"/>
    <col min="8708" max="8708" width="11.140625" style="76" customWidth="1"/>
    <col min="8709" max="8710" width="11.7109375" style="76" customWidth="1"/>
    <col min="8711" max="8711" width="13.85546875" style="76" customWidth="1"/>
    <col min="8712" max="8712" width="15.28515625" style="76" customWidth="1"/>
    <col min="8713" max="8715" width="11.7109375" style="76" customWidth="1"/>
    <col min="8716" max="8722" width="14.140625" style="76" customWidth="1"/>
    <col min="8723" max="8723" width="9.5703125" style="76" bestFit="1" customWidth="1"/>
    <col min="8724" max="8958" width="9.140625" style="76"/>
    <col min="8959" max="8959" width="6.28515625" style="76" customWidth="1"/>
    <col min="8960" max="8960" width="50.28515625" style="76" customWidth="1"/>
    <col min="8961" max="8961" width="13.28515625" style="76" customWidth="1"/>
    <col min="8962" max="8963" width="13.42578125" style="76" customWidth="1"/>
    <col min="8964" max="8964" width="11.140625" style="76" customWidth="1"/>
    <col min="8965" max="8966" width="11.7109375" style="76" customWidth="1"/>
    <col min="8967" max="8967" width="13.85546875" style="76" customWidth="1"/>
    <col min="8968" max="8968" width="15.28515625" style="76" customWidth="1"/>
    <col min="8969" max="8971" width="11.7109375" style="76" customWidth="1"/>
    <col min="8972" max="8978" width="14.140625" style="76" customWidth="1"/>
    <col min="8979" max="8979" width="9.5703125" style="76" bestFit="1" customWidth="1"/>
    <col min="8980" max="9214" width="9.140625" style="76"/>
    <col min="9215" max="9215" width="6.28515625" style="76" customWidth="1"/>
    <col min="9216" max="9216" width="50.28515625" style="76" customWidth="1"/>
    <col min="9217" max="9217" width="13.28515625" style="76" customWidth="1"/>
    <col min="9218" max="9219" width="13.42578125" style="76" customWidth="1"/>
    <col min="9220" max="9220" width="11.140625" style="76" customWidth="1"/>
    <col min="9221" max="9222" width="11.7109375" style="76" customWidth="1"/>
    <col min="9223" max="9223" width="13.85546875" style="76" customWidth="1"/>
    <col min="9224" max="9224" width="15.28515625" style="76" customWidth="1"/>
    <col min="9225" max="9227" width="11.7109375" style="76" customWidth="1"/>
    <col min="9228" max="9234" width="14.140625" style="76" customWidth="1"/>
    <col min="9235" max="9235" width="9.5703125" style="76" bestFit="1" customWidth="1"/>
    <col min="9236" max="9470" width="9.140625" style="76"/>
    <col min="9471" max="9471" width="6.28515625" style="76" customWidth="1"/>
    <col min="9472" max="9472" width="50.28515625" style="76" customWidth="1"/>
    <col min="9473" max="9473" width="13.28515625" style="76" customWidth="1"/>
    <col min="9474" max="9475" width="13.42578125" style="76" customWidth="1"/>
    <col min="9476" max="9476" width="11.140625" style="76" customWidth="1"/>
    <col min="9477" max="9478" width="11.7109375" style="76" customWidth="1"/>
    <col min="9479" max="9479" width="13.85546875" style="76" customWidth="1"/>
    <col min="9480" max="9480" width="15.28515625" style="76" customWidth="1"/>
    <col min="9481" max="9483" width="11.7109375" style="76" customWidth="1"/>
    <col min="9484" max="9490" width="14.140625" style="76" customWidth="1"/>
    <col min="9491" max="9491" width="9.5703125" style="76" bestFit="1" customWidth="1"/>
    <col min="9492" max="9726" width="9.140625" style="76"/>
    <col min="9727" max="9727" width="6.28515625" style="76" customWidth="1"/>
    <col min="9728" max="9728" width="50.28515625" style="76" customWidth="1"/>
    <col min="9729" max="9729" width="13.28515625" style="76" customWidth="1"/>
    <col min="9730" max="9731" width="13.42578125" style="76" customWidth="1"/>
    <col min="9732" max="9732" width="11.140625" style="76" customWidth="1"/>
    <col min="9733" max="9734" width="11.7109375" style="76" customWidth="1"/>
    <col min="9735" max="9735" width="13.85546875" style="76" customWidth="1"/>
    <col min="9736" max="9736" width="15.28515625" style="76" customWidth="1"/>
    <col min="9737" max="9739" width="11.7109375" style="76" customWidth="1"/>
    <col min="9740" max="9746" width="14.140625" style="76" customWidth="1"/>
    <col min="9747" max="9747" width="9.5703125" style="76" bestFit="1" customWidth="1"/>
    <col min="9748" max="9982" width="9.140625" style="76"/>
    <col min="9983" max="9983" width="6.28515625" style="76" customWidth="1"/>
    <col min="9984" max="9984" width="50.28515625" style="76" customWidth="1"/>
    <col min="9985" max="9985" width="13.28515625" style="76" customWidth="1"/>
    <col min="9986" max="9987" width="13.42578125" style="76" customWidth="1"/>
    <col min="9988" max="9988" width="11.140625" style="76" customWidth="1"/>
    <col min="9989" max="9990" width="11.7109375" style="76" customWidth="1"/>
    <col min="9991" max="9991" width="13.85546875" style="76" customWidth="1"/>
    <col min="9992" max="9992" width="15.28515625" style="76" customWidth="1"/>
    <col min="9993" max="9995" width="11.7109375" style="76" customWidth="1"/>
    <col min="9996" max="10002" width="14.140625" style="76" customWidth="1"/>
    <col min="10003" max="10003" width="9.5703125" style="76" bestFit="1" customWidth="1"/>
    <col min="10004" max="10238" width="9.140625" style="76"/>
    <col min="10239" max="10239" width="6.28515625" style="76" customWidth="1"/>
    <col min="10240" max="10240" width="50.28515625" style="76" customWidth="1"/>
    <col min="10241" max="10241" width="13.28515625" style="76" customWidth="1"/>
    <col min="10242" max="10243" width="13.42578125" style="76" customWidth="1"/>
    <col min="10244" max="10244" width="11.140625" style="76" customWidth="1"/>
    <col min="10245" max="10246" width="11.7109375" style="76" customWidth="1"/>
    <col min="10247" max="10247" width="13.85546875" style="76" customWidth="1"/>
    <col min="10248" max="10248" width="15.28515625" style="76" customWidth="1"/>
    <col min="10249" max="10251" width="11.7109375" style="76" customWidth="1"/>
    <col min="10252" max="10258" width="14.140625" style="76" customWidth="1"/>
    <col min="10259" max="10259" width="9.5703125" style="76" bestFit="1" customWidth="1"/>
    <col min="10260" max="10494" width="9.140625" style="76"/>
    <col min="10495" max="10495" width="6.28515625" style="76" customWidth="1"/>
    <col min="10496" max="10496" width="50.28515625" style="76" customWidth="1"/>
    <col min="10497" max="10497" width="13.28515625" style="76" customWidth="1"/>
    <col min="10498" max="10499" width="13.42578125" style="76" customWidth="1"/>
    <col min="10500" max="10500" width="11.140625" style="76" customWidth="1"/>
    <col min="10501" max="10502" width="11.7109375" style="76" customWidth="1"/>
    <col min="10503" max="10503" width="13.85546875" style="76" customWidth="1"/>
    <col min="10504" max="10504" width="15.28515625" style="76" customWidth="1"/>
    <col min="10505" max="10507" width="11.7109375" style="76" customWidth="1"/>
    <col min="10508" max="10514" width="14.140625" style="76" customWidth="1"/>
    <col min="10515" max="10515" width="9.5703125" style="76" bestFit="1" customWidth="1"/>
    <col min="10516" max="10750" width="9.140625" style="76"/>
    <col min="10751" max="10751" width="6.28515625" style="76" customWidth="1"/>
    <col min="10752" max="10752" width="50.28515625" style="76" customWidth="1"/>
    <col min="10753" max="10753" width="13.28515625" style="76" customWidth="1"/>
    <col min="10754" max="10755" width="13.42578125" style="76" customWidth="1"/>
    <col min="10756" max="10756" width="11.140625" style="76" customWidth="1"/>
    <col min="10757" max="10758" width="11.7109375" style="76" customWidth="1"/>
    <col min="10759" max="10759" width="13.85546875" style="76" customWidth="1"/>
    <col min="10760" max="10760" width="15.28515625" style="76" customWidth="1"/>
    <col min="10761" max="10763" width="11.7109375" style="76" customWidth="1"/>
    <col min="10764" max="10770" width="14.140625" style="76" customWidth="1"/>
    <col min="10771" max="10771" width="9.5703125" style="76" bestFit="1" customWidth="1"/>
    <col min="10772" max="11006" width="9.140625" style="76"/>
    <col min="11007" max="11007" width="6.28515625" style="76" customWidth="1"/>
    <col min="11008" max="11008" width="50.28515625" style="76" customWidth="1"/>
    <col min="11009" max="11009" width="13.28515625" style="76" customWidth="1"/>
    <col min="11010" max="11011" width="13.42578125" style="76" customWidth="1"/>
    <col min="11012" max="11012" width="11.140625" style="76" customWidth="1"/>
    <col min="11013" max="11014" width="11.7109375" style="76" customWidth="1"/>
    <col min="11015" max="11015" width="13.85546875" style="76" customWidth="1"/>
    <col min="11016" max="11016" width="15.28515625" style="76" customWidth="1"/>
    <col min="11017" max="11019" width="11.7109375" style="76" customWidth="1"/>
    <col min="11020" max="11026" width="14.140625" style="76" customWidth="1"/>
    <col min="11027" max="11027" width="9.5703125" style="76" bestFit="1" customWidth="1"/>
    <col min="11028" max="11262" width="9.140625" style="76"/>
    <col min="11263" max="11263" width="6.28515625" style="76" customWidth="1"/>
    <col min="11264" max="11264" width="50.28515625" style="76" customWidth="1"/>
    <col min="11265" max="11265" width="13.28515625" style="76" customWidth="1"/>
    <col min="11266" max="11267" width="13.42578125" style="76" customWidth="1"/>
    <col min="11268" max="11268" width="11.140625" style="76" customWidth="1"/>
    <col min="11269" max="11270" width="11.7109375" style="76" customWidth="1"/>
    <col min="11271" max="11271" width="13.85546875" style="76" customWidth="1"/>
    <col min="11272" max="11272" width="15.28515625" style="76" customWidth="1"/>
    <col min="11273" max="11275" width="11.7109375" style="76" customWidth="1"/>
    <col min="11276" max="11282" width="14.140625" style="76" customWidth="1"/>
    <col min="11283" max="11283" width="9.5703125" style="76" bestFit="1" customWidth="1"/>
    <col min="11284" max="11518" width="9.140625" style="76"/>
    <col min="11519" max="11519" width="6.28515625" style="76" customWidth="1"/>
    <col min="11520" max="11520" width="50.28515625" style="76" customWidth="1"/>
    <col min="11521" max="11521" width="13.28515625" style="76" customWidth="1"/>
    <col min="11522" max="11523" width="13.42578125" style="76" customWidth="1"/>
    <col min="11524" max="11524" width="11.140625" style="76" customWidth="1"/>
    <col min="11525" max="11526" width="11.7109375" style="76" customWidth="1"/>
    <col min="11527" max="11527" width="13.85546875" style="76" customWidth="1"/>
    <col min="11528" max="11528" width="15.28515625" style="76" customWidth="1"/>
    <col min="11529" max="11531" width="11.7109375" style="76" customWidth="1"/>
    <col min="11532" max="11538" width="14.140625" style="76" customWidth="1"/>
    <col min="11539" max="11539" width="9.5703125" style="76" bestFit="1" customWidth="1"/>
    <col min="11540" max="11774" width="9.140625" style="76"/>
    <col min="11775" max="11775" width="6.28515625" style="76" customWidth="1"/>
    <col min="11776" max="11776" width="50.28515625" style="76" customWidth="1"/>
    <col min="11777" max="11777" width="13.28515625" style="76" customWidth="1"/>
    <col min="11778" max="11779" width="13.42578125" style="76" customWidth="1"/>
    <col min="11780" max="11780" width="11.140625" style="76" customWidth="1"/>
    <col min="11781" max="11782" width="11.7109375" style="76" customWidth="1"/>
    <col min="11783" max="11783" width="13.85546875" style="76" customWidth="1"/>
    <col min="11784" max="11784" width="15.28515625" style="76" customWidth="1"/>
    <col min="11785" max="11787" width="11.7109375" style="76" customWidth="1"/>
    <col min="11788" max="11794" width="14.140625" style="76" customWidth="1"/>
    <col min="11795" max="11795" width="9.5703125" style="76" bestFit="1" customWidth="1"/>
    <col min="11796" max="12030" width="9.140625" style="76"/>
    <col min="12031" max="12031" width="6.28515625" style="76" customWidth="1"/>
    <col min="12032" max="12032" width="50.28515625" style="76" customWidth="1"/>
    <col min="12033" max="12033" width="13.28515625" style="76" customWidth="1"/>
    <col min="12034" max="12035" width="13.42578125" style="76" customWidth="1"/>
    <col min="12036" max="12036" width="11.140625" style="76" customWidth="1"/>
    <col min="12037" max="12038" width="11.7109375" style="76" customWidth="1"/>
    <col min="12039" max="12039" width="13.85546875" style="76" customWidth="1"/>
    <col min="12040" max="12040" width="15.28515625" style="76" customWidth="1"/>
    <col min="12041" max="12043" width="11.7109375" style="76" customWidth="1"/>
    <col min="12044" max="12050" width="14.140625" style="76" customWidth="1"/>
    <col min="12051" max="12051" width="9.5703125" style="76" bestFit="1" customWidth="1"/>
    <col min="12052" max="12286" width="9.140625" style="76"/>
    <col min="12287" max="12287" width="6.28515625" style="76" customWidth="1"/>
    <col min="12288" max="12288" width="50.28515625" style="76" customWidth="1"/>
    <col min="12289" max="12289" width="13.28515625" style="76" customWidth="1"/>
    <col min="12290" max="12291" width="13.42578125" style="76" customWidth="1"/>
    <col min="12292" max="12292" width="11.140625" style="76" customWidth="1"/>
    <col min="12293" max="12294" width="11.7109375" style="76" customWidth="1"/>
    <col min="12295" max="12295" width="13.85546875" style="76" customWidth="1"/>
    <col min="12296" max="12296" width="15.28515625" style="76" customWidth="1"/>
    <col min="12297" max="12299" width="11.7109375" style="76" customWidth="1"/>
    <col min="12300" max="12306" width="14.140625" style="76" customWidth="1"/>
    <col min="12307" max="12307" width="9.5703125" style="76" bestFit="1" customWidth="1"/>
    <col min="12308" max="12542" width="9.140625" style="76"/>
    <col min="12543" max="12543" width="6.28515625" style="76" customWidth="1"/>
    <col min="12544" max="12544" width="50.28515625" style="76" customWidth="1"/>
    <col min="12545" max="12545" width="13.28515625" style="76" customWidth="1"/>
    <col min="12546" max="12547" width="13.42578125" style="76" customWidth="1"/>
    <col min="12548" max="12548" width="11.140625" style="76" customWidth="1"/>
    <col min="12549" max="12550" width="11.7109375" style="76" customWidth="1"/>
    <col min="12551" max="12551" width="13.85546875" style="76" customWidth="1"/>
    <col min="12552" max="12552" width="15.28515625" style="76" customWidth="1"/>
    <col min="12553" max="12555" width="11.7109375" style="76" customWidth="1"/>
    <col min="12556" max="12562" width="14.140625" style="76" customWidth="1"/>
    <col min="12563" max="12563" width="9.5703125" style="76" bestFit="1" customWidth="1"/>
    <col min="12564" max="12798" width="9.140625" style="76"/>
    <col min="12799" max="12799" width="6.28515625" style="76" customWidth="1"/>
    <col min="12800" max="12800" width="50.28515625" style="76" customWidth="1"/>
    <col min="12801" max="12801" width="13.28515625" style="76" customWidth="1"/>
    <col min="12802" max="12803" width="13.42578125" style="76" customWidth="1"/>
    <col min="12804" max="12804" width="11.140625" style="76" customWidth="1"/>
    <col min="12805" max="12806" width="11.7109375" style="76" customWidth="1"/>
    <col min="12807" max="12807" width="13.85546875" style="76" customWidth="1"/>
    <col min="12808" max="12808" width="15.28515625" style="76" customWidth="1"/>
    <col min="12809" max="12811" width="11.7109375" style="76" customWidth="1"/>
    <col min="12812" max="12818" width="14.140625" style="76" customWidth="1"/>
    <col min="12819" max="12819" width="9.5703125" style="76" bestFit="1" customWidth="1"/>
    <col min="12820" max="13054" width="9.140625" style="76"/>
    <col min="13055" max="13055" width="6.28515625" style="76" customWidth="1"/>
    <col min="13056" max="13056" width="50.28515625" style="76" customWidth="1"/>
    <col min="13057" max="13057" width="13.28515625" style="76" customWidth="1"/>
    <col min="13058" max="13059" width="13.42578125" style="76" customWidth="1"/>
    <col min="13060" max="13060" width="11.140625" style="76" customWidth="1"/>
    <col min="13061" max="13062" width="11.7109375" style="76" customWidth="1"/>
    <col min="13063" max="13063" width="13.85546875" style="76" customWidth="1"/>
    <col min="13064" max="13064" width="15.28515625" style="76" customWidth="1"/>
    <col min="13065" max="13067" width="11.7109375" style="76" customWidth="1"/>
    <col min="13068" max="13074" width="14.140625" style="76" customWidth="1"/>
    <col min="13075" max="13075" width="9.5703125" style="76" bestFit="1" customWidth="1"/>
    <col min="13076" max="13310" width="9.140625" style="76"/>
    <col min="13311" max="13311" width="6.28515625" style="76" customWidth="1"/>
    <col min="13312" max="13312" width="50.28515625" style="76" customWidth="1"/>
    <col min="13313" max="13313" width="13.28515625" style="76" customWidth="1"/>
    <col min="13314" max="13315" width="13.42578125" style="76" customWidth="1"/>
    <col min="13316" max="13316" width="11.140625" style="76" customWidth="1"/>
    <col min="13317" max="13318" width="11.7109375" style="76" customWidth="1"/>
    <col min="13319" max="13319" width="13.85546875" style="76" customWidth="1"/>
    <col min="13320" max="13320" width="15.28515625" style="76" customWidth="1"/>
    <col min="13321" max="13323" width="11.7109375" style="76" customWidth="1"/>
    <col min="13324" max="13330" width="14.140625" style="76" customWidth="1"/>
    <col min="13331" max="13331" width="9.5703125" style="76" bestFit="1" customWidth="1"/>
    <col min="13332" max="13566" width="9.140625" style="76"/>
    <col min="13567" max="13567" width="6.28515625" style="76" customWidth="1"/>
    <col min="13568" max="13568" width="50.28515625" style="76" customWidth="1"/>
    <col min="13569" max="13569" width="13.28515625" style="76" customWidth="1"/>
    <col min="13570" max="13571" width="13.42578125" style="76" customWidth="1"/>
    <col min="13572" max="13572" width="11.140625" style="76" customWidth="1"/>
    <col min="13573" max="13574" width="11.7109375" style="76" customWidth="1"/>
    <col min="13575" max="13575" width="13.85546875" style="76" customWidth="1"/>
    <col min="13576" max="13576" width="15.28515625" style="76" customWidth="1"/>
    <col min="13577" max="13579" width="11.7109375" style="76" customWidth="1"/>
    <col min="13580" max="13586" width="14.140625" style="76" customWidth="1"/>
    <col min="13587" max="13587" width="9.5703125" style="76" bestFit="1" customWidth="1"/>
    <col min="13588" max="13822" width="9.140625" style="76"/>
    <col min="13823" max="13823" width="6.28515625" style="76" customWidth="1"/>
    <col min="13824" max="13824" width="50.28515625" style="76" customWidth="1"/>
    <col min="13825" max="13825" width="13.28515625" style="76" customWidth="1"/>
    <col min="13826" max="13827" width="13.42578125" style="76" customWidth="1"/>
    <col min="13828" max="13828" width="11.140625" style="76" customWidth="1"/>
    <col min="13829" max="13830" width="11.7109375" style="76" customWidth="1"/>
    <col min="13831" max="13831" width="13.85546875" style="76" customWidth="1"/>
    <col min="13832" max="13832" width="15.28515625" style="76" customWidth="1"/>
    <col min="13833" max="13835" width="11.7109375" style="76" customWidth="1"/>
    <col min="13836" max="13842" width="14.140625" style="76" customWidth="1"/>
    <col min="13843" max="13843" width="9.5703125" style="76" bestFit="1" customWidth="1"/>
    <col min="13844" max="14078" width="9.140625" style="76"/>
    <col min="14079" max="14079" width="6.28515625" style="76" customWidth="1"/>
    <col min="14080" max="14080" width="50.28515625" style="76" customWidth="1"/>
    <col min="14081" max="14081" width="13.28515625" style="76" customWidth="1"/>
    <col min="14082" max="14083" width="13.42578125" style="76" customWidth="1"/>
    <col min="14084" max="14084" width="11.140625" style="76" customWidth="1"/>
    <col min="14085" max="14086" width="11.7109375" style="76" customWidth="1"/>
    <col min="14087" max="14087" width="13.85546875" style="76" customWidth="1"/>
    <col min="14088" max="14088" width="15.28515625" style="76" customWidth="1"/>
    <col min="14089" max="14091" width="11.7109375" style="76" customWidth="1"/>
    <col min="14092" max="14098" width="14.140625" style="76" customWidth="1"/>
    <col min="14099" max="14099" width="9.5703125" style="76" bestFit="1" customWidth="1"/>
    <col min="14100" max="14334" width="9.140625" style="76"/>
    <col min="14335" max="14335" width="6.28515625" style="76" customWidth="1"/>
    <col min="14336" max="14336" width="50.28515625" style="76" customWidth="1"/>
    <col min="14337" max="14337" width="13.28515625" style="76" customWidth="1"/>
    <col min="14338" max="14339" width="13.42578125" style="76" customWidth="1"/>
    <col min="14340" max="14340" width="11.140625" style="76" customWidth="1"/>
    <col min="14341" max="14342" width="11.7109375" style="76" customWidth="1"/>
    <col min="14343" max="14343" width="13.85546875" style="76" customWidth="1"/>
    <col min="14344" max="14344" width="15.28515625" style="76" customWidth="1"/>
    <col min="14345" max="14347" width="11.7109375" style="76" customWidth="1"/>
    <col min="14348" max="14354" width="14.140625" style="76" customWidth="1"/>
    <col min="14355" max="14355" width="9.5703125" style="76" bestFit="1" customWidth="1"/>
    <col min="14356" max="14590" width="9.140625" style="76"/>
    <col min="14591" max="14591" width="6.28515625" style="76" customWidth="1"/>
    <col min="14592" max="14592" width="50.28515625" style="76" customWidth="1"/>
    <col min="14593" max="14593" width="13.28515625" style="76" customWidth="1"/>
    <col min="14594" max="14595" width="13.42578125" style="76" customWidth="1"/>
    <col min="14596" max="14596" width="11.140625" style="76" customWidth="1"/>
    <col min="14597" max="14598" width="11.7109375" style="76" customWidth="1"/>
    <col min="14599" max="14599" width="13.85546875" style="76" customWidth="1"/>
    <col min="14600" max="14600" width="15.28515625" style="76" customWidth="1"/>
    <col min="14601" max="14603" width="11.7109375" style="76" customWidth="1"/>
    <col min="14604" max="14610" width="14.140625" style="76" customWidth="1"/>
    <col min="14611" max="14611" width="9.5703125" style="76" bestFit="1" customWidth="1"/>
    <col min="14612" max="14846" width="9.140625" style="76"/>
    <col min="14847" max="14847" width="6.28515625" style="76" customWidth="1"/>
    <col min="14848" max="14848" width="50.28515625" style="76" customWidth="1"/>
    <col min="14849" max="14849" width="13.28515625" style="76" customWidth="1"/>
    <col min="14850" max="14851" width="13.42578125" style="76" customWidth="1"/>
    <col min="14852" max="14852" width="11.140625" style="76" customWidth="1"/>
    <col min="14853" max="14854" width="11.7109375" style="76" customWidth="1"/>
    <col min="14855" max="14855" width="13.85546875" style="76" customWidth="1"/>
    <col min="14856" max="14856" width="15.28515625" style="76" customWidth="1"/>
    <col min="14857" max="14859" width="11.7109375" style="76" customWidth="1"/>
    <col min="14860" max="14866" width="14.140625" style="76" customWidth="1"/>
    <col min="14867" max="14867" width="9.5703125" style="76" bestFit="1" customWidth="1"/>
    <col min="14868" max="15102" width="9.140625" style="76"/>
    <col min="15103" max="15103" width="6.28515625" style="76" customWidth="1"/>
    <col min="15104" max="15104" width="50.28515625" style="76" customWidth="1"/>
    <col min="15105" max="15105" width="13.28515625" style="76" customWidth="1"/>
    <col min="15106" max="15107" width="13.42578125" style="76" customWidth="1"/>
    <col min="15108" max="15108" width="11.140625" style="76" customWidth="1"/>
    <col min="15109" max="15110" width="11.7109375" style="76" customWidth="1"/>
    <col min="15111" max="15111" width="13.85546875" style="76" customWidth="1"/>
    <col min="15112" max="15112" width="15.28515625" style="76" customWidth="1"/>
    <col min="15113" max="15115" width="11.7109375" style="76" customWidth="1"/>
    <col min="15116" max="15122" width="14.140625" style="76" customWidth="1"/>
    <col min="15123" max="15123" width="9.5703125" style="76" bestFit="1" customWidth="1"/>
    <col min="15124" max="15358" width="9.140625" style="76"/>
    <col min="15359" max="15359" width="6.28515625" style="76" customWidth="1"/>
    <col min="15360" max="15360" width="50.28515625" style="76" customWidth="1"/>
    <col min="15361" max="15361" width="13.28515625" style="76" customWidth="1"/>
    <col min="15362" max="15363" width="13.42578125" style="76" customWidth="1"/>
    <col min="15364" max="15364" width="11.140625" style="76" customWidth="1"/>
    <col min="15365" max="15366" width="11.7109375" style="76" customWidth="1"/>
    <col min="15367" max="15367" width="13.85546875" style="76" customWidth="1"/>
    <col min="15368" max="15368" width="15.28515625" style="76" customWidth="1"/>
    <col min="15369" max="15371" width="11.7109375" style="76" customWidth="1"/>
    <col min="15372" max="15378" width="14.140625" style="76" customWidth="1"/>
    <col min="15379" max="15379" width="9.5703125" style="76" bestFit="1" customWidth="1"/>
    <col min="15380" max="15614" width="9.140625" style="76"/>
    <col min="15615" max="15615" width="6.28515625" style="76" customWidth="1"/>
    <col min="15616" max="15616" width="50.28515625" style="76" customWidth="1"/>
    <col min="15617" max="15617" width="13.28515625" style="76" customWidth="1"/>
    <col min="15618" max="15619" width="13.42578125" style="76" customWidth="1"/>
    <col min="15620" max="15620" width="11.140625" style="76" customWidth="1"/>
    <col min="15621" max="15622" width="11.7109375" style="76" customWidth="1"/>
    <col min="15623" max="15623" width="13.85546875" style="76" customWidth="1"/>
    <col min="15624" max="15624" width="15.28515625" style="76" customWidth="1"/>
    <col min="15625" max="15627" width="11.7109375" style="76" customWidth="1"/>
    <col min="15628" max="15634" width="14.140625" style="76" customWidth="1"/>
    <col min="15635" max="15635" width="9.5703125" style="76" bestFit="1" customWidth="1"/>
    <col min="15636" max="15870" width="9.140625" style="76"/>
    <col min="15871" max="15871" width="6.28515625" style="76" customWidth="1"/>
    <col min="15872" max="15872" width="50.28515625" style="76" customWidth="1"/>
    <col min="15873" max="15873" width="13.28515625" style="76" customWidth="1"/>
    <col min="15874" max="15875" width="13.42578125" style="76" customWidth="1"/>
    <col min="15876" max="15876" width="11.140625" style="76" customWidth="1"/>
    <col min="15877" max="15878" width="11.7109375" style="76" customWidth="1"/>
    <col min="15879" max="15879" width="13.85546875" style="76" customWidth="1"/>
    <col min="15880" max="15880" width="15.28515625" style="76" customWidth="1"/>
    <col min="15881" max="15883" width="11.7109375" style="76" customWidth="1"/>
    <col min="15884" max="15890" width="14.140625" style="76" customWidth="1"/>
    <col min="15891" max="15891" width="9.5703125" style="76" bestFit="1" customWidth="1"/>
    <col min="15892" max="16126" width="9.140625" style="76"/>
    <col min="16127" max="16127" width="6.28515625" style="76" customWidth="1"/>
    <col min="16128" max="16128" width="50.28515625" style="76" customWidth="1"/>
    <col min="16129" max="16129" width="13.28515625" style="76" customWidth="1"/>
    <col min="16130" max="16131" width="13.42578125" style="76" customWidth="1"/>
    <col min="16132" max="16132" width="11.140625" style="76" customWidth="1"/>
    <col min="16133" max="16134" width="11.7109375" style="76" customWidth="1"/>
    <col min="16135" max="16135" width="13.85546875" style="76" customWidth="1"/>
    <col min="16136" max="16136" width="15.28515625" style="76" customWidth="1"/>
    <col min="16137" max="16139" width="11.7109375" style="76" customWidth="1"/>
    <col min="16140" max="16146" width="14.140625" style="76" customWidth="1"/>
    <col min="16147" max="16147" width="9.5703125" style="76" bestFit="1" customWidth="1"/>
    <col min="16148" max="16384" width="9.140625" style="76"/>
  </cols>
  <sheetData>
    <row r="1" spans="1:18" s="28" customFormat="1" ht="15.75" thickBot="1" x14ac:dyDescent="0.3">
      <c r="A1" s="24"/>
      <c r="B1" s="25"/>
      <c r="C1" s="26" t="s">
        <v>211</v>
      </c>
      <c r="D1" s="27">
        <v>2024</v>
      </c>
      <c r="E1" s="27">
        <f>D1+1</f>
        <v>2025</v>
      </c>
      <c r="F1" s="27">
        <f t="shared" ref="F1:R1" si="0">E1+1</f>
        <v>2026</v>
      </c>
      <c r="G1" s="27">
        <f t="shared" si="0"/>
        <v>2027</v>
      </c>
      <c r="H1" s="27">
        <f t="shared" si="0"/>
        <v>2028</v>
      </c>
      <c r="I1" s="27">
        <f t="shared" si="0"/>
        <v>2029</v>
      </c>
      <c r="J1" s="27">
        <f t="shared" si="0"/>
        <v>2030</v>
      </c>
      <c r="K1" s="27">
        <f t="shared" si="0"/>
        <v>2031</v>
      </c>
      <c r="L1" s="27">
        <f t="shared" si="0"/>
        <v>2032</v>
      </c>
      <c r="M1" s="27">
        <f>L1+1</f>
        <v>2033</v>
      </c>
      <c r="N1" s="27">
        <f t="shared" si="0"/>
        <v>2034</v>
      </c>
      <c r="O1" s="27">
        <f t="shared" si="0"/>
        <v>2035</v>
      </c>
      <c r="P1" s="27">
        <f t="shared" si="0"/>
        <v>2036</v>
      </c>
      <c r="Q1" s="27">
        <f t="shared" si="0"/>
        <v>2037</v>
      </c>
      <c r="R1" s="27">
        <f t="shared" si="0"/>
        <v>2038</v>
      </c>
    </row>
    <row r="2" spans="1:18" s="28" customFormat="1" ht="15.75" thickBot="1" x14ac:dyDescent="0.3">
      <c r="A2" s="24"/>
      <c r="B2" s="34">
        <v>2026</v>
      </c>
      <c r="C2" s="30">
        <f>'№5 ИП-ТС'!H25</f>
        <v>49671.902999999998</v>
      </c>
      <c r="D2" s="30"/>
      <c r="E2" s="31"/>
      <c r="F2" s="32">
        <f>C2</f>
        <v>49671.902999999998</v>
      </c>
      <c r="G2" s="32"/>
      <c r="H2" s="32"/>
      <c r="I2" s="32"/>
      <c r="J2" s="32"/>
      <c r="K2" s="32"/>
      <c r="N2" s="33"/>
      <c r="O2" s="28" t="s">
        <v>212</v>
      </c>
    </row>
    <row r="3" spans="1:18" s="28" customFormat="1" ht="15.75" thickBot="1" x14ac:dyDescent="0.3">
      <c r="A3" s="24"/>
      <c r="B3" s="37">
        <v>2027</v>
      </c>
      <c r="C3" s="30">
        <f>'№5 ИП-ТС'!I25</f>
        <v>11913.603999999999</v>
      </c>
      <c r="D3" s="35"/>
      <c r="E3" s="31"/>
      <c r="F3" s="36"/>
      <c r="G3" s="36">
        <f>C3</f>
        <v>11913.603999999999</v>
      </c>
      <c r="H3" s="36"/>
      <c r="I3" s="36"/>
      <c r="J3" s="36"/>
      <c r="K3" s="36"/>
      <c r="N3" s="33"/>
    </row>
    <row r="4" spans="1:18" s="28" customFormat="1" ht="15.75" thickBot="1" x14ac:dyDescent="0.3">
      <c r="A4" s="24"/>
      <c r="B4" s="37">
        <v>2028</v>
      </c>
      <c r="C4" s="30">
        <f>'№5 ИП-ТС'!J25</f>
        <v>9410.239333333333</v>
      </c>
      <c r="D4" s="35"/>
      <c r="E4" s="31"/>
      <c r="F4" s="32"/>
      <c r="G4" s="32"/>
      <c r="H4" s="32">
        <f>C4</f>
        <v>9410.239333333333</v>
      </c>
      <c r="I4" s="32"/>
      <c r="J4" s="32"/>
      <c r="K4" s="32"/>
      <c r="N4" s="33"/>
    </row>
    <row r="5" spans="1:18" s="28" customFormat="1" ht="15.75" thickBot="1" x14ac:dyDescent="0.3">
      <c r="A5" s="24"/>
      <c r="B5" s="37"/>
      <c r="C5" s="30">
        <f t="shared" ref="C5:C7" si="1">SUM(D5:J5)</f>
        <v>0</v>
      </c>
      <c r="D5" s="35"/>
      <c r="E5" s="31"/>
      <c r="F5" s="36"/>
      <c r="G5" s="36"/>
      <c r="H5" s="36"/>
      <c r="I5" s="36"/>
      <c r="J5" s="36"/>
      <c r="K5" s="36"/>
      <c r="N5" s="33"/>
    </row>
    <row r="6" spans="1:18" s="28" customFormat="1" ht="15.75" thickBot="1" x14ac:dyDescent="0.3">
      <c r="A6" s="24"/>
      <c r="B6" s="37" t="s">
        <v>213</v>
      </c>
      <c r="C6" s="30">
        <f t="shared" si="1"/>
        <v>0</v>
      </c>
      <c r="D6" s="38"/>
      <c r="E6" s="31"/>
      <c r="F6" s="32"/>
      <c r="G6" s="32"/>
      <c r="H6" s="32"/>
      <c r="I6" s="32"/>
      <c r="J6" s="32"/>
      <c r="K6" s="32"/>
      <c r="N6" s="33"/>
    </row>
    <row r="7" spans="1:18" s="28" customFormat="1" x14ac:dyDescent="0.25">
      <c r="A7" s="24"/>
      <c r="B7" s="29"/>
      <c r="C7" s="30">
        <f t="shared" si="1"/>
        <v>0</v>
      </c>
      <c r="D7" s="39"/>
      <c r="E7" s="31"/>
      <c r="F7" s="32"/>
      <c r="G7" s="32"/>
      <c r="H7" s="32"/>
      <c r="I7" s="32"/>
      <c r="J7" s="32"/>
      <c r="K7" s="32"/>
      <c r="N7" s="33"/>
    </row>
    <row r="8" spans="1:18" s="28" customFormat="1" x14ac:dyDescent="0.25">
      <c r="A8" s="24"/>
      <c r="B8" s="25" t="s">
        <v>198</v>
      </c>
      <c r="C8" s="40">
        <f t="shared" ref="C8:J8" si="2">SUM(C2:C7)</f>
        <v>70995.746333333329</v>
      </c>
      <c r="D8" s="41">
        <f t="shared" si="2"/>
        <v>0</v>
      </c>
      <c r="E8" s="42">
        <f t="shared" si="2"/>
        <v>0</v>
      </c>
      <c r="F8" s="43">
        <f t="shared" si="2"/>
        <v>49671.902999999998</v>
      </c>
      <c r="G8" s="43">
        <f t="shared" si="2"/>
        <v>11913.603999999999</v>
      </c>
      <c r="H8" s="43">
        <f t="shared" si="2"/>
        <v>9410.239333333333</v>
      </c>
      <c r="I8" s="43">
        <f t="shared" si="2"/>
        <v>0</v>
      </c>
      <c r="J8" s="43">
        <f t="shared" si="2"/>
        <v>0</v>
      </c>
      <c r="L8" s="44"/>
      <c r="N8" s="33"/>
    </row>
    <row r="9" spans="1:18" s="28" customFormat="1" x14ac:dyDescent="0.25">
      <c r="A9" s="24"/>
      <c r="C9" s="45"/>
      <c r="E9" s="44"/>
      <c r="G9" s="44"/>
      <c r="N9" s="33"/>
    </row>
    <row r="10" spans="1:18" s="28" customFormat="1" x14ac:dyDescent="0.25">
      <c r="A10" s="24"/>
      <c r="C10" s="45"/>
      <c r="N10" s="33"/>
    </row>
    <row r="11" spans="1:18" s="28" customFormat="1" x14ac:dyDescent="0.25">
      <c r="A11" s="24"/>
      <c r="C11" s="45"/>
      <c r="G11" s="44"/>
      <c r="N11" s="33"/>
    </row>
    <row r="12" spans="1:18" s="28" customFormat="1" x14ac:dyDescent="0.25">
      <c r="A12" s="24"/>
      <c r="C12" s="45"/>
      <c r="N12" s="33"/>
    </row>
    <row r="13" spans="1:18" s="28" customFormat="1" ht="15.75" thickBot="1" x14ac:dyDescent="0.3">
      <c r="D13" s="27">
        <v>2024</v>
      </c>
      <c r="E13" s="27">
        <f>D13+1</f>
        <v>2025</v>
      </c>
      <c r="F13" s="27">
        <f t="shared" ref="F13:R13" si="3">E13+1</f>
        <v>2026</v>
      </c>
      <c r="G13" s="27">
        <f t="shared" si="3"/>
        <v>2027</v>
      </c>
      <c r="H13" s="27">
        <f t="shared" si="3"/>
        <v>2028</v>
      </c>
      <c r="I13" s="27">
        <f t="shared" si="3"/>
        <v>2029</v>
      </c>
      <c r="J13" s="27">
        <f t="shared" si="3"/>
        <v>2030</v>
      </c>
      <c r="K13" s="27">
        <f t="shared" si="3"/>
        <v>2031</v>
      </c>
      <c r="L13" s="27">
        <f t="shared" si="3"/>
        <v>2032</v>
      </c>
      <c r="M13" s="27">
        <f t="shared" si="3"/>
        <v>2033</v>
      </c>
      <c r="N13" s="27">
        <f t="shared" si="3"/>
        <v>2034</v>
      </c>
      <c r="O13" s="27">
        <f t="shared" si="3"/>
        <v>2035</v>
      </c>
      <c r="P13" s="27">
        <f t="shared" si="3"/>
        <v>2036</v>
      </c>
      <c r="Q13" s="27">
        <f t="shared" si="3"/>
        <v>2037</v>
      </c>
      <c r="R13" s="27">
        <f t="shared" si="3"/>
        <v>2038</v>
      </c>
    </row>
    <row r="14" spans="1:18" s="28" customFormat="1" x14ac:dyDescent="0.2">
      <c r="A14" s="46" t="s">
        <v>214</v>
      </c>
      <c r="B14" s="47"/>
      <c r="C14" s="47"/>
      <c r="D14" s="47">
        <f>100/8</f>
        <v>12.5</v>
      </c>
      <c r="E14" s="47">
        <f t="shared" ref="E14:N14" si="4">100/8</f>
        <v>12.5</v>
      </c>
      <c r="F14" s="47">
        <f t="shared" si="4"/>
        <v>12.5</v>
      </c>
      <c r="G14" s="47">
        <f t="shared" si="4"/>
        <v>12.5</v>
      </c>
      <c r="H14" s="47">
        <f t="shared" si="4"/>
        <v>12.5</v>
      </c>
      <c r="I14" s="47">
        <f t="shared" si="4"/>
        <v>12.5</v>
      </c>
      <c r="J14" s="47">
        <f t="shared" si="4"/>
        <v>12.5</v>
      </c>
      <c r="K14" s="47">
        <f t="shared" si="4"/>
        <v>12.5</v>
      </c>
      <c r="L14" s="47">
        <f t="shared" si="4"/>
        <v>12.5</v>
      </c>
      <c r="M14" s="47">
        <f t="shared" si="4"/>
        <v>12.5</v>
      </c>
      <c r="N14" s="47">
        <f t="shared" si="4"/>
        <v>12.5</v>
      </c>
      <c r="O14" s="47">
        <v>12.5</v>
      </c>
      <c r="P14" s="47">
        <v>12.5</v>
      </c>
      <c r="Q14" s="47">
        <v>12.5</v>
      </c>
      <c r="R14" s="47">
        <v>12.5</v>
      </c>
    </row>
    <row r="15" spans="1:18" s="28" customFormat="1" x14ac:dyDescent="0.2">
      <c r="A15" s="48" t="s">
        <v>215</v>
      </c>
      <c r="B15" s="49"/>
      <c r="C15" s="50"/>
      <c r="D15" s="51"/>
      <c r="E15" s="52">
        <f t="shared" ref="E15:R19" si="5">D25</f>
        <v>0</v>
      </c>
      <c r="F15" s="52">
        <f t="shared" si="5"/>
        <v>0</v>
      </c>
      <c r="G15" s="52">
        <f t="shared" si="5"/>
        <v>0</v>
      </c>
      <c r="H15" s="52">
        <f t="shared" si="5"/>
        <v>0</v>
      </c>
      <c r="I15" s="49">
        <f t="shared" si="5"/>
        <v>0</v>
      </c>
      <c r="J15" s="49">
        <f t="shared" si="5"/>
        <v>0</v>
      </c>
      <c r="K15" s="49">
        <f t="shared" si="5"/>
        <v>0</v>
      </c>
      <c r="L15" s="53">
        <f t="shared" si="5"/>
        <v>0</v>
      </c>
      <c r="M15" s="53">
        <f t="shared" si="5"/>
        <v>0</v>
      </c>
      <c r="N15" s="53">
        <f t="shared" si="5"/>
        <v>0</v>
      </c>
      <c r="O15" s="53">
        <f t="shared" si="5"/>
        <v>0</v>
      </c>
      <c r="P15" s="53">
        <f t="shared" si="5"/>
        <v>0</v>
      </c>
      <c r="Q15" s="53">
        <f t="shared" si="5"/>
        <v>0</v>
      </c>
      <c r="R15" s="53">
        <f t="shared" si="5"/>
        <v>0</v>
      </c>
    </row>
    <row r="16" spans="1:18" s="28" customFormat="1" x14ac:dyDescent="0.2">
      <c r="A16" s="54" t="s">
        <v>216</v>
      </c>
      <c r="B16" s="55"/>
      <c r="C16" s="56"/>
      <c r="D16" s="57">
        <f t="shared" ref="D16:E16" si="6">SUM(D17:D18)</f>
        <v>0</v>
      </c>
      <c r="E16" s="57">
        <f t="shared" si="6"/>
        <v>0</v>
      </c>
      <c r="F16" s="57">
        <f>SUM(F17:F19)</f>
        <v>49671.902999999998</v>
      </c>
      <c r="G16" s="57">
        <f t="shared" ref="G16:R16" si="7">SUM(G17:G19)</f>
        <v>56618.316699999996</v>
      </c>
      <c r="H16" s="57">
        <f t="shared" si="7"/>
        <v>59870.005333333327</v>
      </c>
      <c r="I16" s="57">
        <f t="shared" si="7"/>
        <v>52770.430699999997</v>
      </c>
      <c r="J16" s="57">
        <f t="shared" si="7"/>
        <v>45670.856066666653</v>
      </c>
      <c r="K16" s="57">
        <f t="shared" si="7"/>
        <v>38571.281433333323</v>
      </c>
      <c r="L16" s="57">
        <f t="shared" si="7"/>
        <v>31471.706799999989</v>
      </c>
      <c r="M16" s="57">
        <f t="shared" si="7"/>
        <v>24372.132166666655</v>
      </c>
      <c r="N16" s="57">
        <f t="shared" si="7"/>
        <v>17272.557533333322</v>
      </c>
      <c r="O16" s="57">
        <f t="shared" si="7"/>
        <v>10172.982899999988</v>
      </c>
      <c r="P16" s="57">
        <f t="shared" si="7"/>
        <v>3073.4082666666545</v>
      </c>
      <c r="Q16" s="57">
        <f t="shared" si="7"/>
        <v>941.02393333332122</v>
      </c>
      <c r="R16" s="57">
        <f t="shared" si="7"/>
        <v>-2.9103830456733704E-11</v>
      </c>
    </row>
    <row r="17" spans="1:19" s="28" customFormat="1" x14ac:dyDescent="0.2">
      <c r="A17" s="58">
        <v>1</v>
      </c>
      <c r="B17" s="49"/>
      <c r="C17" s="59"/>
      <c r="D17" s="60">
        <f>D8</f>
        <v>0</v>
      </c>
      <c r="E17" s="60">
        <f>D27</f>
        <v>0</v>
      </c>
      <c r="F17" s="60">
        <f>F2</f>
        <v>49671.902999999998</v>
      </c>
      <c r="G17" s="60">
        <f>F27</f>
        <v>44704.712699999996</v>
      </c>
      <c r="H17" s="60">
        <f>G27</f>
        <v>39737.522399999994</v>
      </c>
      <c r="I17" s="60">
        <f>H27</f>
        <v>34770.332099999992</v>
      </c>
      <c r="J17" s="60">
        <f t="shared" ref="J17:N17" si="8">I27</f>
        <v>29803.14179999999</v>
      </c>
      <c r="K17" s="60">
        <f t="shared" si="8"/>
        <v>24835.951499999988</v>
      </c>
      <c r="L17" s="60">
        <f t="shared" si="8"/>
        <v>19868.761199999986</v>
      </c>
      <c r="M17" s="60">
        <f t="shared" si="8"/>
        <v>14901.570899999986</v>
      </c>
      <c r="N17" s="60">
        <f t="shared" si="8"/>
        <v>9934.3805999999859</v>
      </c>
      <c r="O17" s="60">
        <f t="shared" si="5"/>
        <v>4967.1902999999857</v>
      </c>
      <c r="P17" s="60">
        <f t="shared" si="5"/>
        <v>-1.4551915228366852E-11</v>
      </c>
      <c r="Q17" s="60">
        <f t="shared" si="5"/>
        <v>-1.4551915228366852E-11</v>
      </c>
      <c r="R17" s="60">
        <f t="shared" si="5"/>
        <v>-1.4551915228366852E-11</v>
      </c>
    </row>
    <row r="18" spans="1:19" s="28" customFormat="1" x14ac:dyDescent="0.2">
      <c r="A18" s="58">
        <v>2</v>
      </c>
      <c r="B18" s="49"/>
      <c r="C18" s="59"/>
      <c r="D18" s="60"/>
      <c r="E18" s="60">
        <f>E8</f>
        <v>0</v>
      </c>
      <c r="F18" s="60">
        <f>E29</f>
        <v>0</v>
      </c>
      <c r="G18" s="60">
        <f>G8</f>
        <v>11913.603999999999</v>
      </c>
      <c r="H18" s="60">
        <f>G28</f>
        <v>10722.2436</v>
      </c>
      <c r="I18" s="60">
        <f>H28</f>
        <v>9530.8832000000002</v>
      </c>
      <c r="J18" s="60">
        <f t="shared" ref="J18:N18" si="9">I28</f>
        <v>8339.5228000000006</v>
      </c>
      <c r="K18" s="60">
        <f t="shared" si="9"/>
        <v>7148.1624000000011</v>
      </c>
      <c r="L18" s="60">
        <f t="shared" si="9"/>
        <v>5956.8020000000015</v>
      </c>
      <c r="M18" s="60">
        <f t="shared" si="9"/>
        <v>4765.4416000000019</v>
      </c>
      <c r="N18" s="60">
        <f t="shared" si="9"/>
        <v>3574.0812000000019</v>
      </c>
      <c r="O18" s="60">
        <f t="shared" si="5"/>
        <v>2382.7208000000019</v>
      </c>
      <c r="P18" s="60">
        <f t="shared" si="5"/>
        <v>1191.3604000000018</v>
      </c>
      <c r="Q18" s="60">
        <f t="shared" ref="Q18" si="10">P28</f>
        <v>1.8189894035458565E-12</v>
      </c>
      <c r="R18" s="60">
        <f t="shared" ref="R18" si="11">Q28</f>
        <v>-1.4551915228366852E-11</v>
      </c>
    </row>
    <row r="19" spans="1:19" s="28" customFormat="1" x14ac:dyDescent="0.2">
      <c r="A19" s="58">
        <v>3</v>
      </c>
      <c r="B19" s="49"/>
      <c r="C19" s="59"/>
      <c r="D19" s="60"/>
      <c r="E19" s="60">
        <f>E9</f>
        <v>0</v>
      </c>
      <c r="F19" s="60">
        <f>E30</f>
        <v>0</v>
      </c>
      <c r="G19" s="60">
        <f>G9</f>
        <v>0</v>
      </c>
      <c r="H19" s="60">
        <f>H4</f>
        <v>9410.239333333333</v>
      </c>
      <c r="I19" s="60">
        <f>H29</f>
        <v>8469.2153999999991</v>
      </c>
      <c r="J19" s="60">
        <f t="shared" ref="J19:N19" si="12">I29</f>
        <v>7528.1914666666662</v>
      </c>
      <c r="K19" s="60">
        <f t="shared" si="12"/>
        <v>6587.1675333333333</v>
      </c>
      <c r="L19" s="60">
        <f t="shared" si="12"/>
        <v>5646.1436000000003</v>
      </c>
      <c r="M19" s="60">
        <f t="shared" si="12"/>
        <v>4705.1196666666674</v>
      </c>
      <c r="N19" s="60">
        <f t="shared" si="12"/>
        <v>3764.095733333334</v>
      </c>
      <c r="O19" s="60">
        <f t="shared" si="5"/>
        <v>2823.0718000000006</v>
      </c>
      <c r="P19" s="60">
        <f t="shared" si="5"/>
        <v>1882.0478666666672</v>
      </c>
      <c r="Q19" s="60">
        <f t="shared" ref="Q19" si="13">P29</f>
        <v>941.02393333333396</v>
      </c>
      <c r="R19" s="60">
        <f t="shared" ref="R19" si="14">Q30</f>
        <v>0</v>
      </c>
    </row>
    <row r="20" spans="1:19" s="28" customFormat="1" x14ac:dyDescent="0.2">
      <c r="A20" s="48" t="s">
        <v>217</v>
      </c>
      <c r="B20" s="49"/>
      <c r="C20" s="61"/>
      <c r="D20" s="52">
        <f>D15*12.5/100</f>
        <v>0</v>
      </c>
      <c r="E20" s="52">
        <f t="shared" ref="E20:O20" si="15">D20</f>
        <v>0</v>
      </c>
      <c r="F20" s="52">
        <f t="shared" si="15"/>
        <v>0</v>
      </c>
      <c r="G20" s="52">
        <f t="shared" si="15"/>
        <v>0</v>
      </c>
      <c r="H20" s="52">
        <f t="shared" si="15"/>
        <v>0</v>
      </c>
      <c r="I20" s="52">
        <f t="shared" si="15"/>
        <v>0</v>
      </c>
      <c r="J20" s="52">
        <f t="shared" si="15"/>
        <v>0</v>
      </c>
      <c r="K20" s="52">
        <f t="shared" si="15"/>
        <v>0</v>
      </c>
      <c r="L20" s="62">
        <f t="shared" si="15"/>
        <v>0</v>
      </c>
      <c r="M20" s="62">
        <f t="shared" si="15"/>
        <v>0</v>
      </c>
      <c r="N20" s="62">
        <f t="shared" si="15"/>
        <v>0</v>
      </c>
      <c r="O20" s="62">
        <f t="shared" si="15"/>
        <v>0</v>
      </c>
      <c r="P20" s="62">
        <f>O20</f>
        <v>0</v>
      </c>
      <c r="Q20" s="62">
        <f>P20</f>
        <v>0</v>
      </c>
      <c r="R20" s="62">
        <f>Q20</f>
        <v>0</v>
      </c>
    </row>
    <row r="21" spans="1:19" s="28" customFormat="1" x14ac:dyDescent="0.2">
      <c r="A21" s="54" t="s">
        <v>218</v>
      </c>
      <c r="B21" s="55"/>
      <c r="C21" s="63"/>
      <c r="D21" s="64">
        <f t="shared" ref="D21:R21" si="16">SUM(D22:D23)</f>
        <v>0</v>
      </c>
      <c r="E21" s="64">
        <f t="shared" si="16"/>
        <v>0</v>
      </c>
      <c r="F21" s="64">
        <f>SUM(F22:F24)</f>
        <v>4967.1903000000002</v>
      </c>
      <c r="G21" s="64">
        <f t="shared" ref="G21:Q21" si="17">SUM(G22:G24)</f>
        <v>6158.5506999999998</v>
      </c>
      <c r="H21" s="64">
        <f t="shared" si="17"/>
        <v>7099.5746333333327</v>
      </c>
      <c r="I21" s="64">
        <f t="shared" si="17"/>
        <v>7099.5746333333327</v>
      </c>
      <c r="J21" s="64">
        <f t="shared" si="17"/>
        <v>7099.5746333333327</v>
      </c>
      <c r="K21" s="64">
        <f t="shared" si="17"/>
        <v>7099.5746333333327</v>
      </c>
      <c r="L21" s="64">
        <f t="shared" si="17"/>
        <v>7099.5746333333327</v>
      </c>
      <c r="M21" s="64">
        <f t="shared" si="17"/>
        <v>7099.5746333333327</v>
      </c>
      <c r="N21" s="64">
        <f t="shared" si="17"/>
        <v>7099.5746333333327</v>
      </c>
      <c r="O21" s="64">
        <f t="shared" si="17"/>
        <v>7099.5746333333327</v>
      </c>
      <c r="P21" s="64">
        <f t="shared" si="17"/>
        <v>2132.3843333333334</v>
      </c>
      <c r="Q21" s="64">
        <f t="shared" si="17"/>
        <v>941.02393333333328</v>
      </c>
      <c r="R21" s="64">
        <f t="shared" si="16"/>
        <v>0</v>
      </c>
      <c r="S21" s="65">
        <f>SUM(D21:R21)</f>
        <v>70995.746333333314</v>
      </c>
    </row>
    <row r="22" spans="1:19" s="28" customFormat="1" x14ac:dyDescent="0.2">
      <c r="A22" s="58">
        <v>1</v>
      </c>
      <c r="B22" s="49"/>
      <c r="C22" s="61"/>
      <c r="D22" s="52">
        <f>D8/8/12*3</f>
        <v>0</v>
      </c>
      <c r="E22" s="52">
        <f>D8/8</f>
        <v>0</v>
      </c>
      <c r="F22" s="52">
        <f>F17/10</f>
        <v>4967.1903000000002</v>
      </c>
      <c r="G22" s="52">
        <f t="shared" ref="G22:H22" si="18">F22</f>
        <v>4967.1903000000002</v>
      </c>
      <c r="H22" s="52">
        <f t="shared" si="18"/>
        <v>4967.1903000000002</v>
      </c>
      <c r="I22" s="52">
        <f>H22</f>
        <v>4967.1903000000002</v>
      </c>
      <c r="J22" s="52">
        <f t="shared" ref="J22:O22" si="19">I22</f>
        <v>4967.1903000000002</v>
      </c>
      <c r="K22" s="52">
        <f t="shared" si="19"/>
        <v>4967.1903000000002</v>
      </c>
      <c r="L22" s="52">
        <f t="shared" si="19"/>
        <v>4967.1903000000002</v>
      </c>
      <c r="M22" s="52">
        <f t="shared" si="19"/>
        <v>4967.1903000000002</v>
      </c>
      <c r="N22" s="52">
        <f t="shared" si="19"/>
        <v>4967.1903000000002</v>
      </c>
      <c r="O22" s="52">
        <f t="shared" si="19"/>
        <v>4967.1903000000002</v>
      </c>
      <c r="P22" s="52"/>
      <c r="Q22" s="52">
        <f t="shared" ref="Q22:R22" si="20">P22</f>
        <v>0</v>
      </c>
      <c r="R22" s="52">
        <f t="shared" si="20"/>
        <v>0</v>
      </c>
    </row>
    <row r="23" spans="1:19" s="28" customFormat="1" x14ac:dyDescent="0.2">
      <c r="A23" s="58">
        <v>2</v>
      </c>
      <c r="B23" s="49"/>
      <c r="C23" s="61"/>
      <c r="D23" s="52">
        <f>D18*D14/100/12*3</f>
        <v>0</v>
      </c>
      <c r="E23" s="52">
        <f>E8/10</f>
        <v>0</v>
      </c>
      <c r="F23" s="52">
        <f>E8/10</f>
        <v>0</v>
      </c>
      <c r="G23" s="52">
        <f>G18/10</f>
        <v>1191.3604</v>
      </c>
      <c r="H23" s="52">
        <f>G23</f>
        <v>1191.3604</v>
      </c>
      <c r="I23" s="52">
        <f t="shared" ref="I23:P23" si="21">H23</f>
        <v>1191.3604</v>
      </c>
      <c r="J23" s="52">
        <f t="shared" si="21"/>
        <v>1191.3604</v>
      </c>
      <c r="K23" s="52">
        <f t="shared" si="21"/>
        <v>1191.3604</v>
      </c>
      <c r="L23" s="52">
        <f t="shared" si="21"/>
        <v>1191.3604</v>
      </c>
      <c r="M23" s="52">
        <f t="shared" si="21"/>
        <v>1191.3604</v>
      </c>
      <c r="N23" s="52">
        <f t="shared" si="21"/>
        <v>1191.3604</v>
      </c>
      <c r="O23" s="52">
        <f t="shared" si="21"/>
        <v>1191.3604</v>
      </c>
      <c r="P23" s="52">
        <f t="shared" si="21"/>
        <v>1191.3604</v>
      </c>
      <c r="Q23" s="52"/>
      <c r="R23" s="52">
        <v>0</v>
      </c>
    </row>
    <row r="24" spans="1:19" s="28" customFormat="1" x14ac:dyDescent="0.2">
      <c r="A24" s="58">
        <v>3</v>
      </c>
      <c r="B24" s="49"/>
      <c r="C24" s="61"/>
      <c r="D24" s="52">
        <f>D19*D15/100/12*3</f>
        <v>0</v>
      </c>
      <c r="E24" s="52">
        <f>E9/10</f>
        <v>0</v>
      </c>
      <c r="F24" s="52">
        <f>E9/10</f>
        <v>0</v>
      </c>
      <c r="G24" s="52">
        <f>G19/10/12*4</f>
        <v>0</v>
      </c>
      <c r="H24" s="52">
        <f>H19/10</f>
        <v>941.02393333333328</v>
      </c>
      <c r="I24" s="52">
        <f t="shared" ref="I24" si="22">H24</f>
        <v>941.02393333333328</v>
      </c>
      <c r="J24" s="52">
        <f t="shared" ref="J24" si="23">I24</f>
        <v>941.02393333333328</v>
      </c>
      <c r="K24" s="52">
        <f t="shared" ref="K24" si="24">J24</f>
        <v>941.02393333333328</v>
      </c>
      <c r="L24" s="52">
        <f t="shared" ref="L24" si="25">K24</f>
        <v>941.02393333333328</v>
      </c>
      <c r="M24" s="52">
        <f t="shared" ref="M24" si="26">L24</f>
        <v>941.02393333333328</v>
      </c>
      <c r="N24" s="52">
        <f t="shared" ref="N24" si="27">M24</f>
        <v>941.02393333333328</v>
      </c>
      <c r="O24" s="52">
        <f t="shared" ref="O24" si="28">N24</f>
        <v>941.02393333333328</v>
      </c>
      <c r="P24" s="52">
        <f t="shared" ref="P24:Q24" si="29">O24</f>
        <v>941.02393333333328</v>
      </c>
      <c r="Q24" s="52">
        <f t="shared" si="29"/>
        <v>941.02393333333328</v>
      </c>
      <c r="R24" s="52">
        <v>0</v>
      </c>
    </row>
    <row r="25" spans="1:19" s="28" customFormat="1" x14ac:dyDescent="0.2">
      <c r="A25" s="48" t="s">
        <v>219</v>
      </c>
      <c r="B25" s="49"/>
      <c r="C25" s="61"/>
      <c r="D25" s="52">
        <f t="shared" ref="D25:R25" si="30">D15-D20</f>
        <v>0</v>
      </c>
      <c r="E25" s="52">
        <f t="shared" si="30"/>
        <v>0</v>
      </c>
      <c r="F25" s="52">
        <f t="shared" si="30"/>
        <v>0</v>
      </c>
      <c r="G25" s="52">
        <f t="shared" si="30"/>
        <v>0</v>
      </c>
      <c r="H25" s="52">
        <f t="shared" si="30"/>
        <v>0</v>
      </c>
      <c r="I25" s="52">
        <f t="shared" si="30"/>
        <v>0</v>
      </c>
      <c r="J25" s="52">
        <f t="shared" si="30"/>
        <v>0</v>
      </c>
      <c r="K25" s="52">
        <f t="shared" si="30"/>
        <v>0</v>
      </c>
      <c r="L25" s="62">
        <f t="shared" si="30"/>
        <v>0</v>
      </c>
      <c r="M25" s="62">
        <f t="shared" si="30"/>
        <v>0</v>
      </c>
      <c r="N25" s="62">
        <f t="shared" si="30"/>
        <v>0</v>
      </c>
      <c r="O25" s="62">
        <f t="shared" si="30"/>
        <v>0</v>
      </c>
      <c r="P25" s="62">
        <f t="shared" si="30"/>
        <v>0</v>
      </c>
      <c r="Q25" s="62">
        <f t="shared" si="30"/>
        <v>0</v>
      </c>
      <c r="R25" s="62">
        <f t="shared" si="30"/>
        <v>0</v>
      </c>
    </row>
    <row r="26" spans="1:19" s="28" customFormat="1" x14ac:dyDescent="0.2">
      <c r="A26" s="54" t="s">
        <v>220</v>
      </c>
      <c r="B26" s="55"/>
      <c r="C26" s="63"/>
      <c r="D26" s="66">
        <f>D16-D21</f>
        <v>0</v>
      </c>
      <c r="E26" s="66">
        <f>E16-E21+E23</f>
        <v>0</v>
      </c>
      <c r="F26" s="66">
        <f t="shared" ref="F26:R26" si="31">F16-F21</f>
        <v>44704.712699999996</v>
      </c>
      <c r="G26" s="66">
        <f t="shared" si="31"/>
        <v>50459.765999999996</v>
      </c>
      <c r="H26" s="66">
        <f t="shared" si="31"/>
        <v>52770.430699999997</v>
      </c>
      <c r="I26" s="66">
        <f t="shared" si="31"/>
        <v>45670.856066666667</v>
      </c>
      <c r="J26" s="66">
        <f t="shared" si="31"/>
        <v>38571.281433333323</v>
      </c>
      <c r="K26" s="66">
        <f t="shared" si="31"/>
        <v>31471.706799999989</v>
      </c>
      <c r="L26" s="67">
        <f t="shared" si="31"/>
        <v>24372.132166666655</v>
      </c>
      <c r="M26" s="67">
        <f t="shared" si="31"/>
        <v>17272.557533333322</v>
      </c>
      <c r="N26" s="67">
        <f t="shared" si="31"/>
        <v>10172.982899999988</v>
      </c>
      <c r="O26" s="67">
        <f t="shared" si="31"/>
        <v>3073.4082666666554</v>
      </c>
      <c r="P26" s="67">
        <f t="shared" si="31"/>
        <v>941.02393333332111</v>
      </c>
      <c r="Q26" s="67">
        <f t="shared" si="31"/>
        <v>-1.2050804798491299E-11</v>
      </c>
      <c r="R26" s="67">
        <f t="shared" si="31"/>
        <v>-2.9103830456733704E-11</v>
      </c>
    </row>
    <row r="27" spans="1:19" s="28" customFormat="1" x14ac:dyDescent="0.2">
      <c r="A27" s="58">
        <v>1</v>
      </c>
      <c r="B27" s="49"/>
      <c r="C27" s="61"/>
      <c r="D27" s="52">
        <f>D17-D22</f>
        <v>0</v>
      </c>
      <c r="E27" s="52">
        <f>E17-E22</f>
        <v>0</v>
      </c>
      <c r="F27" s="52">
        <f t="shared" ref="F27:R29" si="32">F17-F22</f>
        <v>44704.712699999996</v>
      </c>
      <c r="G27" s="52">
        <f t="shared" si="32"/>
        <v>39737.522399999994</v>
      </c>
      <c r="H27" s="52">
        <f t="shared" si="32"/>
        <v>34770.332099999992</v>
      </c>
      <c r="I27" s="52">
        <f t="shared" si="32"/>
        <v>29803.14179999999</v>
      </c>
      <c r="J27" s="52">
        <f t="shared" si="32"/>
        <v>24835.951499999988</v>
      </c>
      <c r="K27" s="52">
        <f t="shared" si="32"/>
        <v>19868.761199999986</v>
      </c>
      <c r="L27" s="52">
        <f t="shared" si="32"/>
        <v>14901.570899999986</v>
      </c>
      <c r="M27" s="52">
        <f t="shared" si="32"/>
        <v>9934.3805999999859</v>
      </c>
      <c r="N27" s="52">
        <f t="shared" si="32"/>
        <v>4967.1902999999857</v>
      </c>
      <c r="O27" s="52">
        <f t="shared" si="32"/>
        <v>-1.4551915228366852E-11</v>
      </c>
      <c r="P27" s="52">
        <f t="shared" si="32"/>
        <v>-1.4551915228366852E-11</v>
      </c>
      <c r="Q27" s="52">
        <f t="shared" si="32"/>
        <v>-1.4551915228366852E-11</v>
      </c>
      <c r="R27" s="52">
        <f t="shared" si="32"/>
        <v>-1.4551915228366852E-11</v>
      </c>
    </row>
    <row r="28" spans="1:19" s="28" customFormat="1" x14ac:dyDescent="0.2">
      <c r="A28" s="58">
        <v>2</v>
      </c>
      <c r="B28" s="49"/>
      <c r="C28" s="61"/>
      <c r="D28" s="52">
        <f>D17-D22</f>
        <v>0</v>
      </c>
      <c r="E28" s="52">
        <f>E17-E22</f>
        <v>0</v>
      </c>
      <c r="F28" s="52"/>
      <c r="G28" s="52">
        <f t="shared" si="32"/>
        <v>10722.2436</v>
      </c>
      <c r="H28" s="52">
        <f t="shared" si="32"/>
        <v>9530.8832000000002</v>
      </c>
      <c r="I28" s="52">
        <f t="shared" si="32"/>
        <v>8339.5228000000006</v>
      </c>
      <c r="J28" s="52">
        <f t="shared" si="32"/>
        <v>7148.1624000000011</v>
      </c>
      <c r="K28" s="52">
        <f t="shared" si="32"/>
        <v>5956.8020000000015</v>
      </c>
      <c r="L28" s="52">
        <f t="shared" si="32"/>
        <v>4765.4416000000019</v>
      </c>
      <c r="M28" s="52">
        <f t="shared" si="32"/>
        <v>3574.0812000000019</v>
      </c>
      <c r="N28" s="52">
        <f t="shared" si="32"/>
        <v>2382.7208000000019</v>
      </c>
      <c r="O28" s="52">
        <f t="shared" si="32"/>
        <v>1191.3604000000018</v>
      </c>
      <c r="P28" s="52">
        <f t="shared" si="32"/>
        <v>1.8189894035458565E-12</v>
      </c>
      <c r="Q28" s="52">
        <f t="shared" ref="F28:R29" si="33">Q17-Q22</f>
        <v>-1.4551915228366852E-11</v>
      </c>
      <c r="R28" s="52">
        <f t="shared" si="33"/>
        <v>-1.4551915228366852E-11</v>
      </c>
    </row>
    <row r="29" spans="1:19" s="28" customFormat="1" x14ac:dyDescent="0.2">
      <c r="A29" s="58">
        <v>3</v>
      </c>
      <c r="B29" s="49"/>
      <c r="C29" s="61"/>
      <c r="D29" s="52">
        <f>D18-D23</f>
        <v>0</v>
      </c>
      <c r="E29" s="52">
        <f>E18-E23</f>
        <v>0</v>
      </c>
      <c r="F29" s="52">
        <f t="shared" si="33"/>
        <v>0</v>
      </c>
      <c r="G29" s="52">
        <f t="shared" si="32"/>
        <v>0</v>
      </c>
      <c r="H29" s="52">
        <f t="shared" si="32"/>
        <v>8469.2153999999991</v>
      </c>
      <c r="I29" s="52">
        <f t="shared" si="32"/>
        <v>7528.1914666666662</v>
      </c>
      <c r="J29" s="52">
        <f t="shared" si="32"/>
        <v>6587.1675333333333</v>
      </c>
      <c r="K29" s="52">
        <f t="shared" si="32"/>
        <v>5646.1436000000003</v>
      </c>
      <c r="L29" s="52">
        <f t="shared" si="32"/>
        <v>4705.1196666666674</v>
      </c>
      <c r="M29" s="52">
        <f t="shared" si="32"/>
        <v>3764.095733333334</v>
      </c>
      <c r="N29" s="52">
        <f t="shared" si="32"/>
        <v>2823.0718000000006</v>
      </c>
      <c r="O29" s="52">
        <f t="shared" si="32"/>
        <v>1882.0478666666672</v>
      </c>
      <c r="P29" s="52">
        <f t="shared" si="32"/>
        <v>941.02393333333396</v>
      </c>
      <c r="Q29" s="52">
        <f t="shared" si="33"/>
        <v>1.8189894035458565E-12</v>
      </c>
      <c r="R29" s="52">
        <f t="shared" si="33"/>
        <v>-1.4551915228366852E-11</v>
      </c>
    </row>
    <row r="30" spans="1:19" s="28" customFormat="1" ht="27.75" customHeight="1" x14ac:dyDescent="0.2">
      <c r="A30" s="68"/>
      <c r="B30" s="68"/>
      <c r="C30" s="68"/>
      <c r="D30" s="68"/>
      <c r="E30" s="68"/>
      <c r="F30" s="68"/>
      <c r="G30" s="69"/>
      <c r="H30" s="68"/>
      <c r="I30" s="68"/>
      <c r="J30" s="68"/>
      <c r="K30" s="68"/>
      <c r="L30" s="68"/>
      <c r="M30" s="68"/>
      <c r="N30" s="68"/>
      <c r="O30" s="68"/>
    </row>
    <row r="31" spans="1:19" s="28" customFormat="1" x14ac:dyDescent="0.25">
      <c r="J31" s="70"/>
    </row>
    <row r="32" spans="1:19" s="28" customFormat="1" x14ac:dyDescent="0.25">
      <c r="J32" s="70"/>
    </row>
    <row r="33" spans="1:19" s="28" customFormat="1" x14ac:dyDescent="0.25">
      <c r="J33" s="70"/>
    </row>
    <row r="34" spans="1:19" s="28" customFormat="1" ht="15.75" thickBot="1" x14ac:dyDescent="0.3">
      <c r="J34" s="70"/>
    </row>
    <row r="35" spans="1:19" s="28" customFormat="1" ht="15.75" thickBot="1" x14ac:dyDescent="0.25">
      <c r="C35" s="71" t="s">
        <v>221</v>
      </c>
      <c r="D35" s="72">
        <v>2024</v>
      </c>
      <c r="E35" s="72">
        <f>D35+1</f>
        <v>2025</v>
      </c>
      <c r="F35" s="72">
        <f t="shared" ref="F35:R35" si="34">E35+1</f>
        <v>2026</v>
      </c>
      <c r="G35" s="72">
        <f t="shared" si="34"/>
        <v>2027</v>
      </c>
      <c r="H35" s="72">
        <f t="shared" si="34"/>
        <v>2028</v>
      </c>
      <c r="I35" s="72">
        <f t="shared" si="34"/>
        <v>2029</v>
      </c>
      <c r="J35" s="72">
        <f t="shared" si="34"/>
        <v>2030</v>
      </c>
      <c r="K35" s="72">
        <f t="shared" si="34"/>
        <v>2031</v>
      </c>
      <c r="L35" s="72">
        <f t="shared" si="34"/>
        <v>2032</v>
      </c>
      <c r="M35" s="72">
        <f t="shared" si="34"/>
        <v>2033</v>
      </c>
      <c r="N35" s="72">
        <f t="shared" si="34"/>
        <v>2034</v>
      </c>
      <c r="O35" s="72">
        <f t="shared" si="34"/>
        <v>2035</v>
      </c>
      <c r="P35" s="72">
        <f t="shared" si="34"/>
        <v>2036</v>
      </c>
      <c r="Q35" s="72">
        <f t="shared" si="34"/>
        <v>2037</v>
      </c>
      <c r="R35" s="72">
        <f t="shared" si="34"/>
        <v>2038</v>
      </c>
    </row>
    <row r="36" spans="1:19" s="28" customFormat="1" ht="15.75" thickBot="1" x14ac:dyDescent="0.25">
      <c r="C36" s="73" t="s">
        <v>222</v>
      </c>
      <c r="D36" s="74">
        <f t="shared" ref="D36:R36" si="35">D16</f>
        <v>0</v>
      </c>
      <c r="E36" s="74">
        <f t="shared" si="35"/>
        <v>0</v>
      </c>
      <c r="F36" s="74">
        <f t="shared" si="35"/>
        <v>49671.902999999998</v>
      </c>
      <c r="G36" s="74">
        <f t="shared" si="35"/>
        <v>56618.316699999996</v>
      </c>
      <c r="H36" s="74">
        <f t="shared" si="35"/>
        <v>59870.005333333327</v>
      </c>
      <c r="I36" s="74">
        <f t="shared" si="35"/>
        <v>52770.430699999997</v>
      </c>
      <c r="J36" s="74">
        <f t="shared" si="35"/>
        <v>45670.856066666653</v>
      </c>
      <c r="K36" s="74">
        <f t="shared" si="35"/>
        <v>38571.281433333323</v>
      </c>
      <c r="L36" s="74">
        <f t="shared" si="35"/>
        <v>31471.706799999989</v>
      </c>
      <c r="M36" s="74">
        <f t="shared" si="35"/>
        <v>24372.132166666655</v>
      </c>
      <c r="N36" s="74">
        <f t="shared" si="35"/>
        <v>17272.557533333322</v>
      </c>
      <c r="O36" s="74">
        <f t="shared" si="35"/>
        <v>10172.982899999988</v>
      </c>
      <c r="P36" s="74">
        <f t="shared" si="35"/>
        <v>3073.4082666666545</v>
      </c>
      <c r="Q36" s="74">
        <f t="shared" si="35"/>
        <v>941.02393333332122</v>
      </c>
      <c r="R36" s="74">
        <f t="shared" si="35"/>
        <v>-2.9103830456733704E-11</v>
      </c>
    </row>
    <row r="37" spans="1:19" s="28" customFormat="1" ht="15.75" thickBot="1" x14ac:dyDescent="0.25">
      <c r="C37" s="73" t="s">
        <v>223</v>
      </c>
      <c r="D37" s="74">
        <f t="shared" ref="D37:R37" si="36">D21</f>
        <v>0</v>
      </c>
      <c r="E37" s="74">
        <f t="shared" si="36"/>
        <v>0</v>
      </c>
      <c r="F37" s="74">
        <f t="shared" si="36"/>
        <v>4967.1903000000002</v>
      </c>
      <c r="G37" s="74">
        <f t="shared" si="36"/>
        <v>6158.5506999999998</v>
      </c>
      <c r="H37" s="74">
        <f t="shared" si="36"/>
        <v>7099.5746333333327</v>
      </c>
      <c r="I37" s="74">
        <f t="shared" si="36"/>
        <v>7099.5746333333327</v>
      </c>
      <c r="J37" s="74">
        <f t="shared" si="36"/>
        <v>7099.5746333333327</v>
      </c>
      <c r="K37" s="74">
        <f t="shared" si="36"/>
        <v>7099.5746333333327</v>
      </c>
      <c r="L37" s="74">
        <f t="shared" si="36"/>
        <v>7099.5746333333327</v>
      </c>
      <c r="M37" s="74">
        <f t="shared" si="36"/>
        <v>7099.5746333333327</v>
      </c>
      <c r="N37" s="74">
        <f t="shared" si="36"/>
        <v>7099.5746333333327</v>
      </c>
      <c r="O37" s="74">
        <f t="shared" si="36"/>
        <v>7099.5746333333327</v>
      </c>
      <c r="P37" s="74">
        <f t="shared" si="36"/>
        <v>2132.3843333333334</v>
      </c>
      <c r="Q37" s="74">
        <f t="shared" si="36"/>
        <v>941.02393333333328</v>
      </c>
      <c r="R37" s="74">
        <f t="shared" si="36"/>
        <v>0</v>
      </c>
      <c r="S37" s="44">
        <f>SUM(D37:R37)</f>
        <v>70995.746333333314</v>
      </c>
    </row>
    <row r="38" spans="1:19" s="28" customFormat="1" ht="15.75" thickBot="1" x14ac:dyDescent="0.25">
      <c r="C38" s="73" t="s">
        <v>224</v>
      </c>
      <c r="D38" s="74">
        <f>D26</f>
        <v>0</v>
      </c>
      <c r="E38" s="74">
        <f>E36-E37</f>
        <v>0</v>
      </c>
      <c r="F38" s="74">
        <f t="shared" ref="F38:R38" si="37">F26</f>
        <v>44704.712699999996</v>
      </c>
      <c r="G38" s="74">
        <f t="shared" si="37"/>
        <v>50459.765999999996</v>
      </c>
      <c r="H38" s="74">
        <f t="shared" si="37"/>
        <v>52770.430699999997</v>
      </c>
      <c r="I38" s="74">
        <f t="shared" si="37"/>
        <v>45670.856066666667</v>
      </c>
      <c r="J38" s="74">
        <f t="shared" si="37"/>
        <v>38571.281433333323</v>
      </c>
      <c r="K38" s="74">
        <f t="shared" si="37"/>
        <v>31471.706799999989</v>
      </c>
      <c r="L38" s="74">
        <f t="shared" si="37"/>
        <v>24372.132166666655</v>
      </c>
      <c r="M38" s="74">
        <f t="shared" si="37"/>
        <v>17272.557533333322</v>
      </c>
      <c r="N38" s="74">
        <f t="shared" si="37"/>
        <v>10172.982899999988</v>
      </c>
      <c r="O38" s="74">
        <f t="shared" si="37"/>
        <v>3073.4082666666554</v>
      </c>
      <c r="P38" s="74">
        <f t="shared" si="37"/>
        <v>941.02393333332111</v>
      </c>
      <c r="Q38" s="74">
        <f t="shared" si="37"/>
        <v>-1.2050804798491299E-11</v>
      </c>
      <c r="R38" s="74">
        <f t="shared" si="37"/>
        <v>-2.9103830456733704E-11</v>
      </c>
    </row>
    <row r="39" spans="1:19" s="28" customFormat="1" x14ac:dyDescent="0.25">
      <c r="D39" s="44">
        <f>D36-D37</f>
        <v>0</v>
      </c>
      <c r="E39" s="44">
        <f>E36-E37</f>
        <v>0</v>
      </c>
      <c r="F39" s="44">
        <f t="shared" ref="F39:R39" si="38">F36-F37</f>
        <v>44704.712699999996</v>
      </c>
      <c r="G39" s="44">
        <f t="shared" si="38"/>
        <v>50459.765999999996</v>
      </c>
      <c r="H39" s="44">
        <f t="shared" si="38"/>
        <v>52770.430699999997</v>
      </c>
      <c r="I39" s="44">
        <f t="shared" si="38"/>
        <v>45670.856066666667</v>
      </c>
      <c r="J39" s="75">
        <f t="shared" si="38"/>
        <v>38571.281433333323</v>
      </c>
      <c r="K39" s="44">
        <f t="shared" si="38"/>
        <v>31471.706799999989</v>
      </c>
      <c r="L39" s="44">
        <f t="shared" si="38"/>
        <v>24372.132166666655</v>
      </c>
      <c r="M39" s="44">
        <f t="shared" si="38"/>
        <v>17272.557533333322</v>
      </c>
      <c r="N39" s="44">
        <f t="shared" si="38"/>
        <v>10172.982899999988</v>
      </c>
      <c r="O39" s="44">
        <f t="shared" si="38"/>
        <v>3073.4082666666554</v>
      </c>
      <c r="P39" s="44">
        <f t="shared" si="38"/>
        <v>941.02393333332111</v>
      </c>
      <c r="Q39" s="44">
        <f t="shared" si="38"/>
        <v>-1.2050804798491299E-11</v>
      </c>
      <c r="R39" s="44">
        <f t="shared" si="38"/>
        <v>-2.9103830456733704E-11</v>
      </c>
      <c r="S39" s="44">
        <f>SUM(S37:S38)</f>
        <v>70995.746333333314</v>
      </c>
    </row>
    <row r="40" spans="1:19" s="28" customFormat="1" x14ac:dyDescent="0.25">
      <c r="J40" s="70"/>
    </row>
    <row r="41" spans="1:19" s="28" customFormat="1" x14ac:dyDescent="0.25">
      <c r="A41" s="24"/>
      <c r="C41" s="45"/>
      <c r="J41" s="70"/>
      <c r="N41" s="33"/>
    </row>
    <row r="42" spans="1:19" s="28" customFormat="1" x14ac:dyDescent="0.25">
      <c r="A42" s="24"/>
      <c r="C42" s="45"/>
      <c r="J42" s="70"/>
      <c r="N42" s="33"/>
    </row>
    <row r="43" spans="1:19" s="28" customFormat="1" x14ac:dyDescent="0.25">
      <c r="A43" s="24"/>
      <c r="C43" s="45"/>
      <c r="J43" s="70"/>
      <c r="N43" s="33"/>
    </row>
    <row r="44" spans="1:19" s="28" customFormat="1" x14ac:dyDescent="0.25">
      <c r="A44" s="24"/>
      <c r="C44" s="45"/>
      <c r="J44" s="70"/>
      <c r="N44" s="33"/>
    </row>
    <row r="45" spans="1:19" s="28" customFormat="1" x14ac:dyDescent="0.25">
      <c r="A45" s="24"/>
      <c r="C45" s="45"/>
      <c r="J45" s="70"/>
      <c r="N45" s="33"/>
    </row>
    <row r="46" spans="1:19" s="28" customFormat="1" x14ac:dyDescent="0.25">
      <c r="A46" s="24"/>
      <c r="C46" s="45"/>
      <c r="J46" s="70"/>
      <c r="N46" s="33"/>
    </row>
    <row r="47" spans="1:19" s="28" customFormat="1" x14ac:dyDescent="0.25">
      <c r="A47" s="24"/>
      <c r="C47" s="45"/>
      <c r="J47" s="70"/>
      <c r="N47" s="33"/>
    </row>
    <row r="48" spans="1:19" s="28" customFormat="1" x14ac:dyDescent="0.25">
      <c r="A48" s="24"/>
      <c r="C48" s="45"/>
      <c r="J48" s="70"/>
      <c r="N48" s="33"/>
    </row>
    <row r="49" spans="1:14" s="28" customFormat="1" x14ac:dyDescent="0.25">
      <c r="A49" s="24"/>
      <c r="C49" s="45"/>
      <c r="J49" s="70"/>
      <c r="N49" s="33"/>
    </row>
    <row r="50" spans="1:14" s="28" customFormat="1" x14ac:dyDescent="0.25">
      <c r="A50" s="24"/>
      <c r="C50" s="45"/>
      <c r="J50" s="70"/>
      <c r="N50" s="33"/>
    </row>
    <row r="51" spans="1:14" s="28" customFormat="1" x14ac:dyDescent="0.25">
      <c r="A51" s="24"/>
      <c r="C51" s="45"/>
      <c r="J51" s="70"/>
      <c r="N51" s="33"/>
    </row>
    <row r="52" spans="1:14" s="28" customFormat="1" x14ac:dyDescent="0.25">
      <c r="A52" s="24"/>
      <c r="C52" s="45"/>
      <c r="J52" s="70"/>
      <c r="N52" s="33"/>
    </row>
    <row r="53" spans="1:14" s="28" customFormat="1" x14ac:dyDescent="0.25">
      <c r="A53" s="24"/>
      <c r="C53" s="45"/>
      <c r="J53" s="70"/>
      <c r="N53" s="33"/>
    </row>
    <row r="54" spans="1:14" s="28" customFormat="1" x14ac:dyDescent="0.25">
      <c r="A54" s="24"/>
      <c r="C54" s="45"/>
      <c r="J54" s="70"/>
      <c r="N54" s="33"/>
    </row>
    <row r="55" spans="1:14" s="28" customFormat="1" x14ac:dyDescent="0.25">
      <c r="A55" s="24"/>
      <c r="C55" s="45"/>
      <c r="J55" s="70"/>
      <c r="N55" s="33"/>
    </row>
    <row r="56" spans="1:14" s="28" customFormat="1" x14ac:dyDescent="0.25">
      <c r="A56" s="24"/>
      <c r="C56" s="45"/>
      <c r="J56" s="70"/>
      <c r="N56" s="33"/>
    </row>
    <row r="57" spans="1:14" s="28" customFormat="1" x14ac:dyDescent="0.25">
      <c r="A57" s="24"/>
      <c r="C57" s="45"/>
      <c r="J57" s="70"/>
      <c r="N57" s="33"/>
    </row>
    <row r="58" spans="1:14" s="28" customFormat="1" x14ac:dyDescent="0.25">
      <c r="A58" s="24"/>
      <c r="C58" s="45"/>
      <c r="J58" s="70"/>
      <c r="N58" s="33"/>
    </row>
    <row r="59" spans="1:14" s="28" customFormat="1" x14ac:dyDescent="0.25">
      <c r="A59" s="24"/>
      <c r="C59" s="45"/>
      <c r="J59" s="70"/>
      <c r="N59" s="33"/>
    </row>
    <row r="60" spans="1:14" s="28" customFormat="1" x14ac:dyDescent="0.25">
      <c r="A60" s="24"/>
      <c r="C60" s="45"/>
      <c r="J60" s="70"/>
      <c r="N60" s="33"/>
    </row>
    <row r="61" spans="1:14" s="28" customFormat="1" x14ac:dyDescent="0.25">
      <c r="A61" s="24"/>
      <c r="C61" s="45"/>
      <c r="J61" s="70"/>
      <c r="N61" s="33"/>
    </row>
    <row r="62" spans="1:14" s="28" customFormat="1" x14ac:dyDescent="0.25">
      <c r="A62" s="24"/>
      <c r="C62" s="45"/>
      <c r="J62" s="70"/>
      <c r="N62" s="33"/>
    </row>
    <row r="63" spans="1:14" s="28" customFormat="1" x14ac:dyDescent="0.25">
      <c r="A63" s="24"/>
      <c r="C63" s="45"/>
      <c r="N63" s="33"/>
    </row>
    <row r="64" spans="1:14" s="28" customFormat="1" x14ac:dyDescent="0.25">
      <c r="A64" s="24"/>
      <c r="C64" s="45"/>
      <c r="N64" s="33"/>
    </row>
    <row r="65" spans="1:14" s="28" customFormat="1" x14ac:dyDescent="0.25">
      <c r="A65" s="24"/>
      <c r="C65" s="45"/>
      <c r="N65" s="33"/>
    </row>
    <row r="66" spans="1:14" s="28" customFormat="1" x14ac:dyDescent="0.25">
      <c r="A66" s="24"/>
      <c r="C66" s="45"/>
      <c r="N66" s="33"/>
    </row>
    <row r="67" spans="1:14" s="28" customFormat="1" x14ac:dyDescent="0.25">
      <c r="A67" s="24"/>
      <c r="C67" s="45"/>
      <c r="N67" s="33"/>
    </row>
    <row r="68" spans="1:14" s="28" customFormat="1" x14ac:dyDescent="0.25">
      <c r="A68" s="24"/>
      <c r="C68" s="45"/>
      <c r="N68" s="33"/>
    </row>
    <row r="69" spans="1:14" s="28" customFormat="1" x14ac:dyDescent="0.25">
      <c r="A69" s="24"/>
      <c r="C69" s="45"/>
      <c r="N69" s="33"/>
    </row>
    <row r="70" spans="1:14" s="28" customFormat="1" x14ac:dyDescent="0.25">
      <c r="A70" s="24"/>
      <c r="C70" s="45"/>
      <c r="N70" s="33"/>
    </row>
    <row r="71" spans="1:14" s="28" customFormat="1" x14ac:dyDescent="0.25">
      <c r="A71" s="24"/>
      <c r="C71" s="45"/>
      <c r="N71" s="33"/>
    </row>
    <row r="72" spans="1:14" s="28" customFormat="1" x14ac:dyDescent="0.25">
      <c r="A72" s="24"/>
      <c r="C72" s="45"/>
      <c r="N72" s="33"/>
    </row>
    <row r="73" spans="1:14" s="28" customFormat="1" x14ac:dyDescent="0.25">
      <c r="A73" s="24"/>
      <c r="C73" s="45"/>
      <c r="N73" s="33"/>
    </row>
    <row r="74" spans="1:14" s="28" customFormat="1" x14ac:dyDescent="0.25">
      <c r="A74" s="24"/>
      <c r="C74" s="45"/>
      <c r="N74" s="33"/>
    </row>
    <row r="75" spans="1:14" s="28" customFormat="1" x14ac:dyDescent="0.25">
      <c r="A75" s="24"/>
      <c r="C75" s="45"/>
      <c r="N75" s="33"/>
    </row>
    <row r="76" spans="1:14" s="28" customFormat="1" x14ac:dyDescent="0.25">
      <c r="A76" s="24"/>
      <c r="C76" s="45"/>
      <c r="N76" s="33"/>
    </row>
    <row r="77" spans="1:14" s="28" customFormat="1" x14ac:dyDescent="0.25">
      <c r="A77" s="24"/>
      <c r="C77" s="45"/>
      <c r="N77" s="33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88"/>
  <sheetViews>
    <sheetView topLeftCell="L1" workbookViewId="0">
      <selection activeCell="AD4" sqref="A1:XFD1048576"/>
    </sheetView>
  </sheetViews>
  <sheetFormatPr defaultColWidth="15.42578125" defaultRowHeight="15" x14ac:dyDescent="0.25"/>
  <sheetData>
    <row r="1" spans="1:35" x14ac:dyDescent="0.25">
      <c r="B1" t="s">
        <v>373</v>
      </c>
      <c r="J1" t="s">
        <v>382</v>
      </c>
      <c r="S1" t="s">
        <v>415</v>
      </c>
      <c r="AB1" t="s">
        <v>414</v>
      </c>
    </row>
    <row r="2" spans="1:35" ht="15.75" thickBot="1" x14ac:dyDescent="0.3"/>
    <row r="3" spans="1:35" ht="30.75" thickBot="1" x14ac:dyDescent="0.3">
      <c r="A3" s="145" t="s">
        <v>295</v>
      </c>
      <c r="B3" s="146" t="s">
        <v>296</v>
      </c>
      <c r="C3" s="146" t="s">
        <v>297</v>
      </c>
      <c r="D3" s="146" t="s">
        <v>298</v>
      </c>
      <c r="E3" s="146" t="s">
        <v>299</v>
      </c>
      <c r="F3" s="146" t="s">
        <v>300</v>
      </c>
      <c r="J3" s="145" t="s">
        <v>295</v>
      </c>
      <c r="K3" s="146" t="s">
        <v>296</v>
      </c>
      <c r="L3" s="146" t="s">
        <v>297</v>
      </c>
      <c r="M3" s="146" t="s">
        <v>298</v>
      </c>
      <c r="N3" s="146" t="s">
        <v>299</v>
      </c>
      <c r="O3" s="146" t="s">
        <v>300</v>
      </c>
      <c r="S3" s="145" t="s">
        <v>295</v>
      </c>
      <c r="T3" s="146" t="s">
        <v>296</v>
      </c>
      <c r="U3" s="146" t="s">
        <v>297</v>
      </c>
      <c r="V3" s="146" t="s">
        <v>298</v>
      </c>
      <c r="W3" s="146" t="s">
        <v>299</v>
      </c>
      <c r="X3" s="146" t="s">
        <v>300</v>
      </c>
      <c r="AB3" s="145" t="s">
        <v>295</v>
      </c>
      <c r="AC3" s="146" t="s">
        <v>296</v>
      </c>
      <c r="AD3" s="146" t="s">
        <v>297</v>
      </c>
      <c r="AE3" s="146" t="s">
        <v>298</v>
      </c>
      <c r="AF3" s="146" t="s">
        <v>299</v>
      </c>
      <c r="AG3" s="146" t="s">
        <v>300</v>
      </c>
    </row>
    <row r="4" spans="1:35" ht="15.75" thickBot="1" x14ac:dyDescent="0.3">
      <c r="A4" s="147">
        <v>1</v>
      </c>
      <c r="B4" s="148">
        <v>2</v>
      </c>
      <c r="C4" s="148">
        <v>3</v>
      </c>
      <c r="D4" s="148">
        <v>4</v>
      </c>
      <c r="E4" s="148">
        <v>5</v>
      </c>
      <c r="F4" s="148">
        <v>6</v>
      </c>
      <c r="J4" s="147">
        <v>2</v>
      </c>
      <c r="K4" s="148">
        <v>3</v>
      </c>
      <c r="L4" s="148">
        <v>4</v>
      </c>
      <c r="M4" s="148">
        <v>5</v>
      </c>
      <c r="N4" s="148">
        <v>6</v>
      </c>
      <c r="O4" s="148">
        <v>7</v>
      </c>
      <c r="S4" s="147">
        <v>1</v>
      </c>
      <c r="T4" s="148">
        <v>2</v>
      </c>
      <c r="U4" s="148">
        <v>3</v>
      </c>
      <c r="V4" s="148">
        <v>4</v>
      </c>
      <c r="W4" s="148">
        <v>5</v>
      </c>
      <c r="X4" s="148">
        <v>6</v>
      </c>
      <c r="AB4" s="147">
        <v>1</v>
      </c>
      <c r="AC4" s="148">
        <v>2</v>
      </c>
      <c r="AD4" s="148">
        <v>3</v>
      </c>
      <c r="AE4" s="148">
        <v>4</v>
      </c>
      <c r="AF4" s="148">
        <v>5</v>
      </c>
      <c r="AG4" s="148">
        <v>6</v>
      </c>
    </row>
    <row r="5" spans="1:35" ht="27" thickBot="1" x14ac:dyDescent="0.3">
      <c r="A5" s="149" t="s">
        <v>301</v>
      </c>
      <c r="B5" s="150" t="s">
        <v>302</v>
      </c>
      <c r="C5" s="151" t="s">
        <v>303</v>
      </c>
      <c r="D5" s="152" t="s">
        <v>304</v>
      </c>
      <c r="E5" s="150">
        <v>5</v>
      </c>
      <c r="F5" s="153">
        <v>159</v>
      </c>
      <c r="G5">
        <f>E5*F5/1000</f>
        <v>0.79500000000000004</v>
      </c>
      <c r="H5">
        <f>G5*2/1000</f>
        <v>1.5900000000000001E-3</v>
      </c>
      <c r="J5" s="149" t="s">
        <v>374</v>
      </c>
      <c r="K5" s="150" t="s">
        <v>301</v>
      </c>
      <c r="L5" s="151" t="s">
        <v>303</v>
      </c>
      <c r="M5" s="151" t="s">
        <v>375</v>
      </c>
      <c r="N5" s="150">
        <v>29</v>
      </c>
      <c r="O5" s="153">
        <v>108</v>
      </c>
      <c r="P5">
        <f>N5*O5/1000</f>
        <v>3.1320000000000001</v>
      </c>
      <c r="Q5">
        <f>P5*2/1000</f>
        <v>6.2640000000000005E-3</v>
      </c>
      <c r="S5" s="149" t="s">
        <v>383</v>
      </c>
      <c r="T5" s="150" t="s">
        <v>352</v>
      </c>
      <c r="U5" s="150" t="s">
        <v>384</v>
      </c>
      <c r="V5" s="151" t="s">
        <v>378</v>
      </c>
      <c r="W5" s="150">
        <v>55.7</v>
      </c>
      <c r="X5" s="151">
        <v>133</v>
      </c>
      <c r="Y5">
        <f>W5*X5/1000</f>
        <v>7.4081000000000001</v>
      </c>
      <c r="Z5">
        <f>Y5*2/1000</f>
        <v>1.48162E-2</v>
      </c>
      <c r="AB5" s="159" t="s">
        <v>411</v>
      </c>
      <c r="AC5" s="151" t="s">
        <v>301</v>
      </c>
      <c r="AD5" s="151" t="s">
        <v>303</v>
      </c>
      <c r="AE5" s="151" t="s">
        <v>375</v>
      </c>
      <c r="AF5" s="151">
        <v>2.1</v>
      </c>
      <c r="AG5" s="151">
        <v>133</v>
      </c>
      <c r="AH5">
        <f>AF5*AG5/1000</f>
        <v>0.27929999999999999</v>
      </c>
      <c r="AI5">
        <f>AH5*2/1000</f>
        <v>5.5860000000000003E-4</v>
      </c>
    </row>
    <row r="6" spans="1:35" ht="27" thickBot="1" x14ac:dyDescent="0.3">
      <c r="A6" s="149" t="s">
        <v>305</v>
      </c>
      <c r="B6" s="150" t="s">
        <v>306</v>
      </c>
      <c r="C6" s="151" t="s">
        <v>303</v>
      </c>
      <c r="D6" s="152" t="s">
        <v>304</v>
      </c>
      <c r="E6" s="150">
        <v>12.6</v>
      </c>
      <c r="F6" s="153">
        <v>159</v>
      </c>
      <c r="G6">
        <f t="shared" ref="G6:G69" si="0">E6*F6/1000</f>
        <v>2.0034000000000001</v>
      </c>
      <c r="H6">
        <f t="shared" ref="H6:H69" si="1">G6*2/1000</f>
        <v>4.0068000000000005E-3</v>
      </c>
      <c r="J6" s="149" t="s">
        <v>376</v>
      </c>
      <c r="K6" s="150" t="s">
        <v>374</v>
      </c>
      <c r="L6" s="151" t="s">
        <v>303</v>
      </c>
      <c r="M6" s="151" t="s">
        <v>375</v>
      </c>
      <c r="N6" s="150">
        <v>10</v>
      </c>
      <c r="O6" s="153">
        <v>108</v>
      </c>
      <c r="P6">
        <f t="shared" ref="P6:P11" si="2">N6*O6/1000</f>
        <v>1.08</v>
      </c>
      <c r="Q6">
        <f t="shared" ref="Q6:Q11" si="3">P6*2/1000</f>
        <v>2.16E-3</v>
      </c>
      <c r="S6" s="149" t="s">
        <v>352</v>
      </c>
      <c r="T6" s="150" t="s">
        <v>385</v>
      </c>
      <c r="U6" s="150" t="s">
        <v>384</v>
      </c>
      <c r="V6" s="151" t="s">
        <v>378</v>
      </c>
      <c r="W6" s="150">
        <v>96</v>
      </c>
      <c r="X6" s="151">
        <v>133</v>
      </c>
      <c r="Y6">
        <f t="shared" ref="Y6:Y43" si="4">W6*X6/1000</f>
        <v>12.768000000000001</v>
      </c>
      <c r="Z6">
        <f t="shared" ref="Z6:Z43" si="5">Y6*2/1000</f>
        <v>2.5536E-2</v>
      </c>
      <c r="AB6" s="159" t="s">
        <v>411</v>
      </c>
      <c r="AC6" s="151" t="s">
        <v>412</v>
      </c>
      <c r="AD6" s="151" t="s">
        <v>303</v>
      </c>
      <c r="AE6" s="151" t="s">
        <v>378</v>
      </c>
      <c r="AF6" s="151">
        <v>259.7</v>
      </c>
      <c r="AG6" s="151">
        <v>40</v>
      </c>
      <c r="AH6">
        <f t="shared" ref="AH6:AH10" si="6">AF6*AG6/1000</f>
        <v>10.388</v>
      </c>
      <c r="AI6">
        <f t="shared" ref="AI6:AI10" si="7">AH6*2/1000</f>
        <v>2.0775999999999999E-2</v>
      </c>
    </row>
    <row r="7" spans="1:35" ht="27" thickBot="1" x14ac:dyDescent="0.3">
      <c r="A7" s="149" t="s">
        <v>306</v>
      </c>
      <c r="B7" s="150" t="s">
        <v>307</v>
      </c>
      <c r="C7" s="151" t="s">
        <v>303</v>
      </c>
      <c r="D7" s="152" t="s">
        <v>304</v>
      </c>
      <c r="E7" s="150">
        <v>13.2</v>
      </c>
      <c r="F7" s="153">
        <v>159</v>
      </c>
      <c r="G7">
        <f t="shared" si="0"/>
        <v>2.0987999999999998</v>
      </c>
      <c r="H7">
        <f t="shared" si="1"/>
        <v>4.1975999999999992E-3</v>
      </c>
      <c r="J7" s="149" t="s">
        <v>301</v>
      </c>
      <c r="K7" s="150" t="s">
        <v>377</v>
      </c>
      <c r="L7" s="151" t="s">
        <v>353</v>
      </c>
      <c r="M7" s="151" t="s">
        <v>378</v>
      </c>
      <c r="N7" s="150">
        <v>66</v>
      </c>
      <c r="O7" s="153">
        <v>108</v>
      </c>
      <c r="P7">
        <f t="shared" si="2"/>
        <v>7.1280000000000001</v>
      </c>
      <c r="Q7">
        <f t="shared" si="3"/>
        <v>1.4256E-2</v>
      </c>
      <c r="S7" s="149" t="s">
        <v>385</v>
      </c>
      <c r="T7" s="150" t="s">
        <v>354</v>
      </c>
      <c r="U7" s="150" t="s">
        <v>384</v>
      </c>
      <c r="V7" s="151" t="s">
        <v>378</v>
      </c>
      <c r="W7" s="150">
        <v>42</v>
      </c>
      <c r="X7" s="151">
        <v>159</v>
      </c>
      <c r="Y7">
        <f t="shared" si="4"/>
        <v>6.6779999999999999</v>
      </c>
      <c r="Z7">
        <f t="shared" si="5"/>
        <v>1.3356E-2</v>
      </c>
      <c r="AB7" s="159" t="s">
        <v>301</v>
      </c>
      <c r="AC7" s="151" t="s">
        <v>302</v>
      </c>
      <c r="AD7" s="151" t="s">
        <v>303</v>
      </c>
      <c r="AE7" s="151" t="s">
        <v>378</v>
      </c>
      <c r="AF7" s="151">
        <v>11</v>
      </c>
      <c r="AG7" s="151">
        <v>133</v>
      </c>
      <c r="AH7">
        <f t="shared" si="6"/>
        <v>1.4630000000000001</v>
      </c>
      <c r="AI7">
        <f t="shared" si="7"/>
        <v>2.9260000000000002E-3</v>
      </c>
    </row>
    <row r="8" spans="1:35" ht="27" thickBot="1" x14ac:dyDescent="0.3">
      <c r="A8" s="149" t="s">
        <v>305</v>
      </c>
      <c r="B8" s="150" t="s">
        <v>308</v>
      </c>
      <c r="C8" s="151" t="s">
        <v>303</v>
      </c>
      <c r="D8" s="152" t="s">
        <v>304</v>
      </c>
      <c r="E8" s="150">
        <v>36</v>
      </c>
      <c r="F8" s="153">
        <v>159</v>
      </c>
      <c r="G8">
        <f t="shared" si="0"/>
        <v>5.7240000000000002</v>
      </c>
      <c r="H8">
        <f t="shared" si="1"/>
        <v>1.1448E-2</v>
      </c>
      <c r="J8" s="149" t="s">
        <v>301</v>
      </c>
      <c r="K8" s="150" t="s">
        <v>354</v>
      </c>
      <c r="L8" s="151" t="s">
        <v>353</v>
      </c>
      <c r="M8" s="151" t="s">
        <v>378</v>
      </c>
      <c r="N8" s="150">
        <v>35</v>
      </c>
      <c r="O8" s="153">
        <v>108</v>
      </c>
      <c r="P8">
        <f t="shared" si="2"/>
        <v>3.78</v>
      </c>
      <c r="Q8">
        <f t="shared" si="3"/>
        <v>7.5599999999999999E-3</v>
      </c>
      <c r="S8" s="149" t="s">
        <v>354</v>
      </c>
      <c r="T8" s="150" t="s">
        <v>386</v>
      </c>
      <c r="U8" s="150" t="s">
        <v>387</v>
      </c>
      <c r="V8" s="151" t="s">
        <v>378</v>
      </c>
      <c r="W8" s="150">
        <v>8.6</v>
      </c>
      <c r="X8" s="151">
        <v>159</v>
      </c>
      <c r="Y8">
        <f t="shared" si="4"/>
        <v>1.3673999999999999</v>
      </c>
      <c r="Z8">
        <f t="shared" si="5"/>
        <v>2.7347999999999999E-3</v>
      </c>
      <c r="AB8" s="159" t="s">
        <v>302</v>
      </c>
      <c r="AC8" s="151" t="s">
        <v>306</v>
      </c>
      <c r="AD8" s="151" t="s">
        <v>387</v>
      </c>
      <c r="AE8" s="151" t="s">
        <v>378</v>
      </c>
      <c r="AF8" s="151">
        <v>14.5</v>
      </c>
      <c r="AG8" s="151">
        <v>133</v>
      </c>
      <c r="AH8">
        <f t="shared" si="6"/>
        <v>1.9285000000000001</v>
      </c>
      <c r="AI8">
        <f t="shared" si="7"/>
        <v>3.8570000000000002E-3</v>
      </c>
    </row>
    <row r="9" spans="1:35" ht="27" thickBot="1" x14ac:dyDescent="0.3">
      <c r="A9" s="149" t="s">
        <v>309</v>
      </c>
      <c r="B9" s="150" t="s">
        <v>310</v>
      </c>
      <c r="C9" s="151" t="s">
        <v>303</v>
      </c>
      <c r="D9" s="152" t="s">
        <v>304</v>
      </c>
      <c r="E9" s="150">
        <v>45</v>
      </c>
      <c r="F9" s="153">
        <v>159</v>
      </c>
      <c r="G9">
        <f t="shared" si="0"/>
        <v>7.1550000000000002</v>
      </c>
      <c r="H9">
        <f t="shared" si="1"/>
        <v>1.431E-2</v>
      </c>
      <c r="J9" s="149" t="s">
        <v>354</v>
      </c>
      <c r="K9" s="150" t="s">
        <v>379</v>
      </c>
      <c r="L9" s="151" t="s">
        <v>353</v>
      </c>
      <c r="M9" s="151" t="s">
        <v>378</v>
      </c>
      <c r="N9" s="150">
        <v>37</v>
      </c>
      <c r="O9" s="153">
        <v>76</v>
      </c>
      <c r="P9">
        <f t="shared" si="2"/>
        <v>2.8119999999999998</v>
      </c>
      <c r="Q9">
        <f t="shared" si="3"/>
        <v>5.6239999999999997E-3</v>
      </c>
      <c r="S9" s="149" t="s">
        <v>386</v>
      </c>
      <c r="T9" s="150" t="s">
        <v>388</v>
      </c>
      <c r="U9" s="150" t="s">
        <v>387</v>
      </c>
      <c r="V9" s="151" t="s">
        <v>378</v>
      </c>
      <c r="W9" s="150">
        <v>34</v>
      </c>
      <c r="X9" s="151">
        <v>57</v>
      </c>
      <c r="Y9">
        <f t="shared" si="4"/>
        <v>1.9379999999999999</v>
      </c>
      <c r="Z9">
        <f t="shared" si="5"/>
        <v>3.8760000000000001E-3</v>
      </c>
      <c r="AB9" s="159" t="s">
        <v>301</v>
      </c>
      <c r="AC9" s="151" t="s">
        <v>305</v>
      </c>
      <c r="AD9" s="151" t="s">
        <v>387</v>
      </c>
      <c r="AE9" s="151" t="s">
        <v>378</v>
      </c>
      <c r="AF9" s="151">
        <v>32.700000000000003</v>
      </c>
      <c r="AG9" s="151">
        <v>76</v>
      </c>
      <c r="AH9">
        <f t="shared" si="6"/>
        <v>2.4852000000000003</v>
      </c>
      <c r="AI9">
        <f t="shared" si="7"/>
        <v>4.9704000000000007E-3</v>
      </c>
    </row>
    <row r="10" spans="1:35" ht="27" thickBot="1" x14ac:dyDescent="0.3">
      <c r="A10" s="149" t="s">
        <v>310</v>
      </c>
      <c r="B10" s="150" t="s">
        <v>311</v>
      </c>
      <c r="C10" s="151" t="s">
        <v>303</v>
      </c>
      <c r="D10" s="152" t="s">
        <v>304</v>
      </c>
      <c r="E10" s="150">
        <v>15</v>
      </c>
      <c r="F10" s="153">
        <v>159</v>
      </c>
      <c r="G10">
        <f t="shared" si="0"/>
        <v>2.3849999999999998</v>
      </c>
      <c r="H10">
        <f t="shared" si="1"/>
        <v>4.7699999999999999E-3</v>
      </c>
      <c r="J10" s="149" t="s">
        <v>379</v>
      </c>
      <c r="K10" s="150" t="s">
        <v>380</v>
      </c>
      <c r="L10" s="151" t="s">
        <v>353</v>
      </c>
      <c r="M10" s="151" t="s">
        <v>378</v>
      </c>
      <c r="N10" s="150">
        <v>74</v>
      </c>
      <c r="O10" s="153">
        <v>76</v>
      </c>
      <c r="P10">
        <f t="shared" si="2"/>
        <v>5.6239999999999997</v>
      </c>
      <c r="Q10">
        <f t="shared" si="3"/>
        <v>1.1247999999999999E-2</v>
      </c>
      <c r="S10" s="149" t="s">
        <v>386</v>
      </c>
      <c r="T10" s="150" t="s">
        <v>389</v>
      </c>
      <c r="U10" s="150" t="s">
        <v>387</v>
      </c>
      <c r="V10" s="151" t="s">
        <v>378</v>
      </c>
      <c r="W10" s="150">
        <v>12</v>
      </c>
      <c r="X10" s="151">
        <v>159</v>
      </c>
      <c r="Y10">
        <f t="shared" si="4"/>
        <v>1.9079999999999999</v>
      </c>
      <c r="Z10">
        <f t="shared" si="5"/>
        <v>3.8159999999999999E-3</v>
      </c>
      <c r="AB10" s="159" t="s">
        <v>305</v>
      </c>
      <c r="AC10" s="151" t="s">
        <v>413</v>
      </c>
      <c r="AD10" s="151" t="s">
        <v>387</v>
      </c>
      <c r="AE10" s="151" t="s">
        <v>375</v>
      </c>
      <c r="AF10" s="151">
        <v>30</v>
      </c>
      <c r="AG10" s="151">
        <v>76</v>
      </c>
      <c r="AH10">
        <f t="shared" si="6"/>
        <v>2.2799999999999998</v>
      </c>
      <c r="AI10">
        <f t="shared" si="7"/>
        <v>4.5599999999999998E-3</v>
      </c>
    </row>
    <row r="11" spans="1:35" ht="27" thickBot="1" x14ac:dyDescent="0.3">
      <c r="A11" s="149" t="s">
        <v>307</v>
      </c>
      <c r="B11" s="150" t="s">
        <v>312</v>
      </c>
      <c r="C11" s="151" t="s">
        <v>303</v>
      </c>
      <c r="D11" s="152" t="s">
        <v>304</v>
      </c>
      <c r="E11" s="150">
        <v>13.2</v>
      </c>
      <c r="F11" s="153">
        <v>159</v>
      </c>
      <c r="G11">
        <f t="shared" si="0"/>
        <v>2.0987999999999998</v>
      </c>
      <c r="H11">
        <f t="shared" si="1"/>
        <v>4.1975999999999992E-3</v>
      </c>
      <c r="J11" s="154" t="s">
        <v>354</v>
      </c>
      <c r="K11" s="155" t="s">
        <v>381</v>
      </c>
      <c r="L11" s="156" t="s">
        <v>353</v>
      </c>
      <c r="M11" s="156" t="s">
        <v>378</v>
      </c>
      <c r="N11" s="155">
        <v>42</v>
      </c>
      <c r="O11" s="156">
        <v>76</v>
      </c>
      <c r="P11">
        <f t="shared" si="2"/>
        <v>3.1920000000000002</v>
      </c>
      <c r="Q11">
        <f t="shared" si="3"/>
        <v>6.3839999999999999E-3</v>
      </c>
      <c r="S11" s="149" t="s">
        <v>389</v>
      </c>
      <c r="T11" s="150" t="s">
        <v>390</v>
      </c>
      <c r="U11" s="150" t="s">
        <v>387</v>
      </c>
      <c r="V11" s="151" t="s">
        <v>378</v>
      </c>
      <c r="W11" s="150">
        <v>13</v>
      </c>
      <c r="X11" s="151">
        <v>89</v>
      </c>
      <c r="Y11">
        <f t="shared" si="4"/>
        <v>1.157</v>
      </c>
      <c r="Z11">
        <f t="shared" si="5"/>
        <v>2.3140000000000001E-3</v>
      </c>
      <c r="AB11" s="488" t="s">
        <v>372</v>
      </c>
      <c r="AC11" s="489"/>
      <c r="AD11" s="482"/>
      <c r="AE11" s="482"/>
      <c r="AF11" s="480">
        <v>350</v>
      </c>
      <c r="AG11" s="482"/>
      <c r="AH11">
        <f>SUM(AH5:AH10)</f>
        <v>18.823999999999998</v>
      </c>
      <c r="AI11">
        <f>SUM(AI5:AI10)</f>
        <v>3.7648000000000001E-2</v>
      </c>
    </row>
    <row r="12" spans="1:35" ht="27" thickBot="1" x14ac:dyDescent="0.3">
      <c r="A12" s="149" t="s">
        <v>312</v>
      </c>
      <c r="B12" s="150" t="s">
        <v>313</v>
      </c>
      <c r="C12" s="151" t="s">
        <v>303</v>
      </c>
      <c r="D12" s="152" t="s">
        <v>304</v>
      </c>
      <c r="E12" s="150">
        <v>52.5</v>
      </c>
      <c r="F12" s="153">
        <v>159</v>
      </c>
      <c r="G12">
        <f t="shared" si="0"/>
        <v>8.3475000000000001</v>
      </c>
      <c r="H12">
        <f t="shared" si="1"/>
        <v>1.6695000000000002E-2</v>
      </c>
      <c r="J12" s="486" t="s">
        <v>372</v>
      </c>
      <c r="K12" s="487"/>
      <c r="L12" s="163"/>
      <c r="M12" s="163"/>
      <c r="N12" s="162">
        <v>293</v>
      </c>
      <c r="O12" s="163"/>
      <c r="P12">
        <f>SUM(P5:P11)</f>
        <v>26.747999999999998</v>
      </c>
      <c r="Q12">
        <f>SUM(Q5:Q11)</f>
        <v>5.3496000000000002E-2</v>
      </c>
      <c r="S12" s="149" t="s">
        <v>390</v>
      </c>
      <c r="T12" s="150" t="s">
        <v>391</v>
      </c>
      <c r="U12" s="150" t="s">
        <v>387</v>
      </c>
      <c r="V12" s="151" t="s">
        <v>378</v>
      </c>
      <c r="W12" s="150">
        <v>11</v>
      </c>
      <c r="X12" s="151">
        <v>57</v>
      </c>
      <c r="Y12">
        <f t="shared" si="4"/>
        <v>0.627</v>
      </c>
      <c r="Z12">
        <f t="shared" si="5"/>
        <v>1.2539999999999999E-3</v>
      </c>
      <c r="AB12" s="490"/>
      <c r="AC12" s="491"/>
      <c r="AD12" s="483"/>
      <c r="AE12" s="483"/>
      <c r="AF12" s="481"/>
      <c r="AG12" s="483"/>
    </row>
    <row r="13" spans="1:35" ht="27" thickBot="1" x14ac:dyDescent="0.3">
      <c r="A13" s="149" t="s">
        <v>313</v>
      </c>
      <c r="B13" s="150" t="s">
        <v>314</v>
      </c>
      <c r="C13" s="151" t="s">
        <v>303</v>
      </c>
      <c r="D13" s="152" t="s">
        <v>304</v>
      </c>
      <c r="E13" s="150">
        <v>11.4</v>
      </c>
      <c r="F13" s="153">
        <v>108</v>
      </c>
      <c r="G13">
        <f t="shared" si="0"/>
        <v>1.2312000000000001</v>
      </c>
      <c r="H13">
        <f t="shared" si="1"/>
        <v>2.4624E-3</v>
      </c>
      <c r="S13" s="149" t="s">
        <v>390</v>
      </c>
      <c r="T13" s="150" t="s">
        <v>392</v>
      </c>
      <c r="U13" s="150" t="s">
        <v>387</v>
      </c>
      <c r="V13" s="151" t="s">
        <v>378</v>
      </c>
      <c r="W13" s="150">
        <v>97.4</v>
      </c>
      <c r="X13" s="151">
        <v>76</v>
      </c>
      <c r="Y13">
        <f t="shared" si="4"/>
        <v>7.402400000000001</v>
      </c>
      <c r="Z13">
        <f t="shared" si="5"/>
        <v>1.4804800000000002E-2</v>
      </c>
    </row>
    <row r="14" spans="1:35" ht="27" thickBot="1" x14ac:dyDescent="0.3">
      <c r="A14" s="149" t="s">
        <v>314</v>
      </c>
      <c r="B14" s="150" t="s">
        <v>315</v>
      </c>
      <c r="C14" s="151" t="s">
        <v>303</v>
      </c>
      <c r="D14" s="152" t="s">
        <v>304</v>
      </c>
      <c r="E14" s="150">
        <v>40</v>
      </c>
      <c r="F14" s="153">
        <v>108</v>
      </c>
      <c r="G14">
        <f t="shared" si="0"/>
        <v>4.32</v>
      </c>
      <c r="H14">
        <f t="shared" si="1"/>
        <v>8.6400000000000001E-3</v>
      </c>
      <c r="S14" s="149" t="s">
        <v>354</v>
      </c>
      <c r="T14" s="150" t="s">
        <v>379</v>
      </c>
      <c r="U14" s="150" t="s">
        <v>387</v>
      </c>
      <c r="V14" s="151" t="s">
        <v>378</v>
      </c>
      <c r="W14" s="150">
        <v>27.5</v>
      </c>
      <c r="X14" s="151">
        <v>108</v>
      </c>
      <c r="Y14">
        <f t="shared" si="4"/>
        <v>2.97</v>
      </c>
      <c r="Z14">
        <f t="shared" si="5"/>
        <v>5.94E-3</v>
      </c>
    </row>
    <row r="15" spans="1:35" ht="27" thickBot="1" x14ac:dyDescent="0.3">
      <c r="A15" s="149" t="s">
        <v>316</v>
      </c>
      <c r="B15" s="150" t="s">
        <v>317</v>
      </c>
      <c r="C15" s="151" t="s">
        <v>303</v>
      </c>
      <c r="D15" s="152" t="s">
        <v>304</v>
      </c>
      <c r="E15" s="150">
        <v>34</v>
      </c>
      <c r="F15" s="153">
        <v>159</v>
      </c>
      <c r="G15">
        <f t="shared" si="0"/>
        <v>5.4059999999999997</v>
      </c>
      <c r="H15">
        <f t="shared" si="1"/>
        <v>1.0811999999999999E-2</v>
      </c>
      <c r="S15" s="149" t="s">
        <v>379</v>
      </c>
      <c r="T15" s="150" t="s">
        <v>393</v>
      </c>
      <c r="U15" s="150" t="s">
        <v>387</v>
      </c>
      <c r="V15" s="151" t="s">
        <v>378</v>
      </c>
      <c r="W15" s="150">
        <v>9</v>
      </c>
      <c r="X15" s="151">
        <v>57</v>
      </c>
      <c r="Y15">
        <f t="shared" si="4"/>
        <v>0.51300000000000001</v>
      </c>
      <c r="Z15">
        <f t="shared" si="5"/>
        <v>1.026E-3</v>
      </c>
    </row>
    <row r="16" spans="1:35" ht="27" thickBot="1" x14ac:dyDescent="0.3">
      <c r="A16" s="149" t="s">
        <v>310</v>
      </c>
      <c r="B16" s="150" t="s">
        <v>318</v>
      </c>
      <c r="C16" s="151" t="s">
        <v>303</v>
      </c>
      <c r="D16" s="152" t="s">
        <v>304</v>
      </c>
      <c r="E16" s="150">
        <v>22</v>
      </c>
      <c r="F16" s="153">
        <v>159</v>
      </c>
      <c r="G16">
        <f t="shared" si="0"/>
        <v>3.4980000000000002</v>
      </c>
      <c r="H16">
        <f t="shared" si="1"/>
        <v>6.9960000000000005E-3</v>
      </c>
      <c r="S16" s="149" t="s">
        <v>379</v>
      </c>
      <c r="T16" s="150" t="s">
        <v>332</v>
      </c>
      <c r="U16" s="150" t="s">
        <v>387</v>
      </c>
      <c r="V16" s="151" t="s">
        <v>378</v>
      </c>
      <c r="W16" s="150">
        <v>24.5</v>
      </c>
      <c r="X16" s="151">
        <v>108</v>
      </c>
      <c r="Y16">
        <f t="shared" si="4"/>
        <v>2.6459999999999999</v>
      </c>
      <c r="Z16">
        <f t="shared" si="5"/>
        <v>5.2919999999999998E-3</v>
      </c>
    </row>
    <row r="17" spans="1:26" ht="27" thickBot="1" x14ac:dyDescent="0.3">
      <c r="A17" s="149" t="s">
        <v>318</v>
      </c>
      <c r="B17" s="150" t="s">
        <v>319</v>
      </c>
      <c r="C17" s="151" t="s">
        <v>303</v>
      </c>
      <c r="D17" s="152" t="s">
        <v>304</v>
      </c>
      <c r="E17" s="150">
        <v>5</v>
      </c>
      <c r="F17" s="153">
        <v>76</v>
      </c>
      <c r="G17">
        <f t="shared" si="0"/>
        <v>0.38</v>
      </c>
      <c r="H17">
        <f t="shared" si="1"/>
        <v>7.6000000000000004E-4</v>
      </c>
      <c r="S17" s="149" t="s">
        <v>332</v>
      </c>
      <c r="T17" s="150" t="s">
        <v>342</v>
      </c>
      <c r="U17" s="150" t="s">
        <v>387</v>
      </c>
      <c r="V17" s="151" t="s">
        <v>378</v>
      </c>
      <c r="W17" s="150">
        <v>2</v>
      </c>
      <c r="X17" s="151">
        <v>108</v>
      </c>
      <c r="Y17">
        <f t="shared" si="4"/>
        <v>0.216</v>
      </c>
      <c r="Z17">
        <f t="shared" si="5"/>
        <v>4.3199999999999998E-4</v>
      </c>
    </row>
    <row r="18" spans="1:26" ht="27" thickBot="1" x14ac:dyDescent="0.3">
      <c r="A18" s="149" t="s">
        <v>318</v>
      </c>
      <c r="B18" s="150" t="s">
        <v>320</v>
      </c>
      <c r="C18" s="151" t="s">
        <v>303</v>
      </c>
      <c r="D18" s="152" t="s">
        <v>304</v>
      </c>
      <c r="E18" s="150">
        <v>40</v>
      </c>
      <c r="F18" s="153">
        <v>159</v>
      </c>
      <c r="G18">
        <f t="shared" si="0"/>
        <v>6.36</v>
      </c>
      <c r="H18">
        <f t="shared" si="1"/>
        <v>1.272E-2</v>
      </c>
      <c r="S18" s="149" t="s">
        <v>342</v>
      </c>
      <c r="T18" s="150" t="s">
        <v>394</v>
      </c>
      <c r="U18" s="150" t="s">
        <v>387</v>
      </c>
      <c r="V18" s="151" t="s">
        <v>378</v>
      </c>
      <c r="W18" s="150">
        <v>20</v>
      </c>
      <c r="X18" s="151">
        <v>76</v>
      </c>
      <c r="Y18">
        <f t="shared" si="4"/>
        <v>1.52</v>
      </c>
      <c r="Z18">
        <f t="shared" si="5"/>
        <v>3.0400000000000002E-3</v>
      </c>
    </row>
    <row r="19" spans="1:26" ht="27" thickBot="1" x14ac:dyDescent="0.3">
      <c r="A19" s="149" t="s">
        <v>321</v>
      </c>
      <c r="B19" s="150" t="s">
        <v>322</v>
      </c>
      <c r="C19" s="151" t="s">
        <v>303</v>
      </c>
      <c r="D19" s="152" t="s">
        <v>304</v>
      </c>
      <c r="E19" s="150">
        <v>21.6</v>
      </c>
      <c r="F19" s="153">
        <v>159</v>
      </c>
      <c r="G19">
        <f t="shared" si="0"/>
        <v>3.4344000000000001</v>
      </c>
      <c r="H19">
        <f t="shared" si="1"/>
        <v>6.8688000000000004E-3</v>
      </c>
      <c r="S19" s="149" t="s">
        <v>332</v>
      </c>
      <c r="T19" s="150" t="s">
        <v>360</v>
      </c>
      <c r="U19" s="150" t="s">
        <v>387</v>
      </c>
      <c r="V19" s="151" t="s">
        <v>378</v>
      </c>
      <c r="W19" s="150">
        <v>23.8</v>
      </c>
      <c r="X19" s="151">
        <v>76</v>
      </c>
      <c r="Y19">
        <f t="shared" si="4"/>
        <v>1.8088</v>
      </c>
      <c r="Z19">
        <f t="shared" si="5"/>
        <v>3.6175999999999999E-3</v>
      </c>
    </row>
    <row r="20" spans="1:26" ht="27" thickBot="1" x14ac:dyDescent="0.3">
      <c r="A20" s="149" t="s">
        <v>322</v>
      </c>
      <c r="B20" s="150" t="s">
        <v>323</v>
      </c>
      <c r="C20" s="151" t="s">
        <v>303</v>
      </c>
      <c r="D20" s="152" t="s">
        <v>304</v>
      </c>
      <c r="E20" s="150">
        <v>22.7</v>
      </c>
      <c r="F20" s="153">
        <v>76</v>
      </c>
      <c r="G20">
        <f t="shared" si="0"/>
        <v>1.7252000000000001</v>
      </c>
      <c r="H20">
        <f t="shared" si="1"/>
        <v>3.4504000000000002E-3</v>
      </c>
      <c r="S20" s="149" t="s">
        <v>360</v>
      </c>
      <c r="T20" s="150" t="s">
        <v>395</v>
      </c>
      <c r="U20" s="150" t="s">
        <v>387</v>
      </c>
      <c r="V20" s="151" t="s">
        <v>378</v>
      </c>
      <c r="W20" s="150">
        <v>20</v>
      </c>
      <c r="X20" s="151">
        <v>57</v>
      </c>
      <c r="Y20">
        <f t="shared" si="4"/>
        <v>1.1399999999999999</v>
      </c>
      <c r="Z20">
        <f t="shared" si="5"/>
        <v>2.2799999999999999E-3</v>
      </c>
    </row>
    <row r="21" spans="1:26" ht="27" thickBot="1" x14ac:dyDescent="0.3">
      <c r="A21" s="149" t="s">
        <v>323</v>
      </c>
      <c r="B21" s="150" t="s">
        <v>324</v>
      </c>
      <c r="C21" s="151" t="s">
        <v>303</v>
      </c>
      <c r="D21" s="152" t="s">
        <v>304</v>
      </c>
      <c r="E21" s="150">
        <v>8.1</v>
      </c>
      <c r="F21" s="153">
        <v>76</v>
      </c>
      <c r="G21">
        <f t="shared" si="0"/>
        <v>0.61560000000000004</v>
      </c>
      <c r="H21">
        <f t="shared" si="1"/>
        <v>1.2312E-3</v>
      </c>
      <c r="S21" s="149" t="s">
        <v>360</v>
      </c>
      <c r="T21" s="150" t="s">
        <v>301</v>
      </c>
      <c r="U21" s="150" t="s">
        <v>387</v>
      </c>
      <c r="V21" s="151" t="s">
        <v>378</v>
      </c>
      <c r="W21" s="150">
        <v>37</v>
      </c>
      <c r="X21" s="151">
        <v>76</v>
      </c>
      <c r="Y21">
        <f t="shared" si="4"/>
        <v>2.8119999999999998</v>
      </c>
      <c r="Z21">
        <f t="shared" si="5"/>
        <v>5.6239999999999997E-3</v>
      </c>
    </row>
    <row r="22" spans="1:26" ht="27" thickBot="1" x14ac:dyDescent="0.3">
      <c r="A22" s="149" t="s">
        <v>323</v>
      </c>
      <c r="B22" s="150" t="s">
        <v>325</v>
      </c>
      <c r="C22" s="151" t="s">
        <v>303</v>
      </c>
      <c r="D22" s="152" t="s">
        <v>304</v>
      </c>
      <c r="E22" s="150">
        <v>30</v>
      </c>
      <c r="F22" s="153">
        <v>76</v>
      </c>
      <c r="G22">
        <f t="shared" si="0"/>
        <v>2.2799999999999998</v>
      </c>
      <c r="H22">
        <f t="shared" si="1"/>
        <v>4.5599999999999998E-3</v>
      </c>
      <c r="S22" s="149" t="s">
        <v>302</v>
      </c>
      <c r="T22" s="150" t="s">
        <v>396</v>
      </c>
      <c r="U22" s="150" t="s">
        <v>387</v>
      </c>
      <c r="V22" s="151" t="s">
        <v>378</v>
      </c>
      <c r="W22" s="150">
        <v>2</v>
      </c>
      <c r="X22" s="151">
        <v>76</v>
      </c>
      <c r="Y22">
        <f t="shared" si="4"/>
        <v>0.152</v>
      </c>
      <c r="Z22">
        <f t="shared" si="5"/>
        <v>3.0400000000000002E-4</v>
      </c>
    </row>
    <row r="23" spans="1:26" ht="27" thickBot="1" x14ac:dyDescent="0.3">
      <c r="A23" s="149" t="s">
        <v>322</v>
      </c>
      <c r="B23" s="150" t="s">
        <v>326</v>
      </c>
      <c r="C23" s="151" t="s">
        <v>303</v>
      </c>
      <c r="D23" s="152" t="s">
        <v>304</v>
      </c>
      <c r="E23" s="150">
        <v>20.3</v>
      </c>
      <c r="F23" s="153">
        <v>159</v>
      </c>
      <c r="G23">
        <f t="shared" si="0"/>
        <v>3.2277000000000005</v>
      </c>
      <c r="H23">
        <f t="shared" si="1"/>
        <v>6.4554000000000009E-3</v>
      </c>
      <c r="S23" s="149" t="s">
        <v>396</v>
      </c>
      <c r="T23" s="150" t="s">
        <v>397</v>
      </c>
      <c r="U23" s="150" t="s">
        <v>387</v>
      </c>
      <c r="V23" s="151" t="s">
        <v>378</v>
      </c>
      <c r="W23" s="150">
        <v>7</v>
      </c>
      <c r="X23" s="151">
        <v>45</v>
      </c>
      <c r="Y23">
        <f t="shared" si="4"/>
        <v>0.315</v>
      </c>
      <c r="Z23">
        <f t="shared" si="5"/>
        <v>6.3000000000000003E-4</v>
      </c>
    </row>
    <row r="24" spans="1:26" ht="27" thickBot="1" x14ac:dyDescent="0.3">
      <c r="A24" s="149" t="s">
        <v>326</v>
      </c>
      <c r="B24" s="150" t="s">
        <v>327</v>
      </c>
      <c r="C24" s="151" t="s">
        <v>303</v>
      </c>
      <c r="D24" s="152" t="s">
        <v>304</v>
      </c>
      <c r="E24" s="150">
        <v>7.4</v>
      </c>
      <c r="F24" s="153">
        <v>159</v>
      </c>
      <c r="G24">
        <f t="shared" si="0"/>
        <v>1.1766000000000001</v>
      </c>
      <c r="H24">
        <f t="shared" si="1"/>
        <v>2.3532000000000002E-3</v>
      </c>
      <c r="S24" s="149" t="s">
        <v>396</v>
      </c>
      <c r="T24" s="150" t="s">
        <v>305</v>
      </c>
      <c r="U24" s="150" t="s">
        <v>387</v>
      </c>
      <c r="V24" s="151" t="s">
        <v>378</v>
      </c>
      <c r="W24" s="150">
        <v>27</v>
      </c>
      <c r="X24" s="151">
        <v>76</v>
      </c>
      <c r="Y24">
        <f t="shared" si="4"/>
        <v>2.052</v>
      </c>
      <c r="Z24">
        <f t="shared" si="5"/>
        <v>4.104E-3</v>
      </c>
    </row>
    <row r="25" spans="1:26" ht="27" thickBot="1" x14ac:dyDescent="0.3">
      <c r="A25" s="149" t="s">
        <v>327</v>
      </c>
      <c r="B25" s="150" t="s">
        <v>328</v>
      </c>
      <c r="C25" s="151" t="s">
        <v>303</v>
      </c>
      <c r="D25" s="152" t="s">
        <v>304</v>
      </c>
      <c r="E25" s="150">
        <v>11</v>
      </c>
      <c r="F25" s="153">
        <v>159</v>
      </c>
      <c r="G25">
        <f t="shared" si="0"/>
        <v>1.7490000000000001</v>
      </c>
      <c r="H25">
        <f t="shared" si="1"/>
        <v>3.4980000000000002E-3</v>
      </c>
      <c r="S25" s="149" t="s">
        <v>389</v>
      </c>
      <c r="T25" s="150" t="s">
        <v>306</v>
      </c>
      <c r="U25" s="150" t="s">
        <v>387</v>
      </c>
      <c r="V25" s="151" t="s">
        <v>378</v>
      </c>
      <c r="W25" s="150">
        <v>2</v>
      </c>
      <c r="X25" s="151">
        <v>159</v>
      </c>
      <c r="Y25">
        <f t="shared" si="4"/>
        <v>0.318</v>
      </c>
      <c r="Z25">
        <f t="shared" si="5"/>
        <v>6.3600000000000006E-4</v>
      </c>
    </row>
    <row r="26" spans="1:26" ht="27" thickBot="1" x14ac:dyDescent="0.3">
      <c r="A26" s="149" t="s">
        <v>328</v>
      </c>
      <c r="B26" s="150" t="s">
        <v>329</v>
      </c>
      <c r="C26" s="151" t="s">
        <v>303</v>
      </c>
      <c r="D26" s="152" t="s">
        <v>304</v>
      </c>
      <c r="E26" s="150">
        <v>8.5</v>
      </c>
      <c r="F26" s="153">
        <v>76</v>
      </c>
      <c r="G26">
        <f t="shared" si="0"/>
        <v>0.64600000000000002</v>
      </c>
      <c r="H26">
        <f t="shared" si="1"/>
        <v>1.292E-3</v>
      </c>
      <c r="S26" s="149" t="s">
        <v>307</v>
      </c>
      <c r="T26" s="150" t="s">
        <v>398</v>
      </c>
      <c r="U26" s="150" t="s">
        <v>387</v>
      </c>
      <c r="V26" s="151" t="s">
        <v>378</v>
      </c>
      <c r="W26" s="150">
        <v>17</v>
      </c>
      <c r="X26" s="151">
        <v>159</v>
      </c>
      <c r="Y26">
        <f t="shared" si="4"/>
        <v>2.7029999999999998</v>
      </c>
      <c r="Z26">
        <f t="shared" si="5"/>
        <v>5.4059999999999993E-3</v>
      </c>
    </row>
    <row r="27" spans="1:26" ht="27" thickBot="1" x14ac:dyDescent="0.3">
      <c r="A27" s="149" t="s">
        <v>328</v>
      </c>
      <c r="B27" s="150" t="s">
        <v>330</v>
      </c>
      <c r="C27" s="151" t="s">
        <v>303</v>
      </c>
      <c r="D27" s="152" t="s">
        <v>304</v>
      </c>
      <c r="E27" s="150">
        <v>3</v>
      </c>
      <c r="F27" s="153">
        <v>159</v>
      </c>
      <c r="G27">
        <f t="shared" si="0"/>
        <v>0.47699999999999998</v>
      </c>
      <c r="H27">
        <f t="shared" si="1"/>
        <v>9.5399999999999999E-4</v>
      </c>
      <c r="S27" s="149" t="s">
        <v>368</v>
      </c>
      <c r="T27" s="150" t="s">
        <v>399</v>
      </c>
      <c r="U27" s="150" t="s">
        <v>387</v>
      </c>
      <c r="V27" s="151" t="s">
        <v>378</v>
      </c>
      <c r="W27" s="150">
        <v>14.7</v>
      </c>
      <c r="X27" s="151">
        <v>108</v>
      </c>
      <c r="Y27">
        <f t="shared" si="4"/>
        <v>1.5875999999999999</v>
      </c>
      <c r="Z27">
        <f t="shared" si="5"/>
        <v>3.1752E-3</v>
      </c>
    </row>
    <row r="28" spans="1:26" ht="27" thickBot="1" x14ac:dyDescent="0.3">
      <c r="A28" s="149" t="s">
        <v>330</v>
      </c>
      <c r="B28" s="150" t="s">
        <v>331</v>
      </c>
      <c r="C28" s="151" t="s">
        <v>303</v>
      </c>
      <c r="D28" s="152" t="s">
        <v>304</v>
      </c>
      <c r="E28" s="150">
        <v>9.1999999999999993</v>
      </c>
      <c r="F28" s="153">
        <v>159</v>
      </c>
      <c r="G28">
        <f t="shared" si="0"/>
        <v>1.4627999999999999</v>
      </c>
      <c r="H28">
        <f t="shared" si="1"/>
        <v>2.9255999999999996E-3</v>
      </c>
      <c r="S28" s="149" t="s">
        <v>399</v>
      </c>
      <c r="T28" s="150" t="s">
        <v>400</v>
      </c>
      <c r="U28" s="150" t="s">
        <v>387</v>
      </c>
      <c r="V28" s="151" t="s">
        <v>378</v>
      </c>
      <c r="W28" s="150">
        <v>12.5</v>
      </c>
      <c r="X28" s="151">
        <v>76</v>
      </c>
      <c r="Y28">
        <f t="shared" si="4"/>
        <v>0.95</v>
      </c>
      <c r="Z28">
        <f t="shared" si="5"/>
        <v>1.9E-3</v>
      </c>
    </row>
    <row r="29" spans="1:26" ht="27" thickBot="1" x14ac:dyDescent="0.3">
      <c r="A29" s="149" t="s">
        <v>332</v>
      </c>
      <c r="B29" s="150" t="s">
        <v>333</v>
      </c>
      <c r="C29" s="151" t="s">
        <v>303</v>
      </c>
      <c r="D29" s="152" t="s">
        <v>304</v>
      </c>
      <c r="E29" s="150">
        <v>17</v>
      </c>
      <c r="F29" s="153">
        <v>57</v>
      </c>
      <c r="G29">
        <f t="shared" si="0"/>
        <v>0.96899999999999997</v>
      </c>
      <c r="H29">
        <f t="shared" si="1"/>
        <v>1.9380000000000001E-3</v>
      </c>
      <c r="S29" s="149" t="s">
        <v>399</v>
      </c>
      <c r="T29" s="150" t="s">
        <v>313</v>
      </c>
      <c r="U29" s="150" t="s">
        <v>387</v>
      </c>
      <c r="V29" s="151" t="s">
        <v>378</v>
      </c>
      <c r="W29" s="150">
        <v>18.5</v>
      </c>
      <c r="X29" s="151">
        <v>57</v>
      </c>
      <c r="Y29">
        <f t="shared" si="4"/>
        <v>1.0545</v>
      </c>
      <c r="Z29">
        <f t="shared" si="5"/>
        <v>2.1090000000000002E-3</v>
      </c>
    </row>
    <row r="30" spans="1:26" ht="27" thickBot="1" x14ac:dyDescent="0.3">
      <c r="A30" s="149" t="s">
        <v>333</v>
      </c>
      <c r="B30" s="150" t="s">
        <v>334</v>
      </c>
      <c r="C30" s="151" t="s">
        <v>303</v>
      </c>
      <c r="D30" s="152" t="s">
        <v>304</v>
      </c>
      <c r="E30" s="150">
        <v>10.3</v>
      </c>
      <c r="F30" s="153">
        <v>40</v>
      </c>
      <c r="G30">
        <f t="shared" si="0"/>
        <v>0.41199999999999998</v>
      </c>
      <c r="H30">
        <f t="shared" si="1"/>
        <v>8.2399999999999997E-4</v>
      </c>
      <c r="S30" s="149" t="s">
        <v>314</v>
      </c>
      <c r="T30" s="150" t="s">
        <v>401</v>
      </c>
      <c r="U30" s="150" t="s">
        <v>387</v>
      </c>
      <c r="V30" s="151" t="s">
        <v>378</v>
      </c>
      <c r="W30" s="150">
        <v>5</v>
      </c>
      <c r="X30" s="153">
        <v>57</v>
      </c>
      <c r="Y30">
        <f t="shared" si="4"/>
        <v>0.28499999999999998</v>
      </c>
      <c r="Z30">
        <f t="shared" si="5"/>
        <v>5.6999999999999998E-4</v>
      </c>
    </row>
    <row r="31" spans="1:26" ht="27" thickBot="1" x14ac:dyDescent="0.3">
      <c r="A31" s="149" t="s">
        <v>333</v>
      </c>
      <c r="B31" s="150" t="s">
        <v>335</v>
      </c>
      <c r="C31" s="151" t="s">
        <v>303</v>
      </c>
      <c r="D31" s="152" t="s">
        <v>304</v>
      </c>
      <c r="E31" s="150">
        <v>0.1</v>
      </c>
      <c r="F31" s="153">
        <v>57</v>
      </c>
      <c r="G31">
        <f t="shared" si="0"/>
        <v>5.7000000000000002E-3</v>
      </c>
      <c r="H31">
        <f t="shared" si="1"/>
        <v>1.1400000000000001E-5</v>
      </c>
      <c r="S31" s="149" t="s">
        <v>368</v>
      </c>
      <c r="T31" s="150" t="s">
        <v>402</v>
      </c>
      <c r="U31" s="150" t="s">
        <v>387</v>
      </c>
      <c r="V31" s="151" t="s">
        <v>378</v>
      </c>
      <c r="W31" s="150">
        <v>72.5</v>
      </c>
      <c r="X31" s="153">
        <v>89</v>
      </c>
      <c r="Y31">
        <f t="shared" si="4"/>
        <v>6.4524999999999997</v>
      </c>
      <c r="Z31">
        <f t="shared" si="5"/>
        <v>1.2905E-2</v>
      </c>
    </row>
    <row r="32" spans="1:26" ht="27" thickBot="1" x14ac:dyDescent="0.3">
      <c r="A32" s="149" t="s">
        <v>335</v>
      </c>
      <c r="B32" s="150" t="s">
        <v>336</v>
      </c>
      <c r="C32" s="151" t="s">
        <v>303</v>
      </c>
      <c r="D32" s="152" t="s">
        <v>304</v>
      </c>
      <c r="E32" s="150">
        <v>5</v>
      </c>
      <c r="F32" s="153">
        <v>76</v>
      </c>
      <c r="G32">
        <f t="shared" si="0"/>
        <v>0.38</v>
      </c>
      <c r="H32">
        <f t="shared" si="1"/>
        <v>7.6000000000000004E-4</v>
      </c>
      <c r="S32" s="164" t="s">
        <v>315</v>
      </c>
      <c r="T32" s="165" t="s">
        <v>403</v>
      </c>
      <c r="U32" s="150" t="s">
        <v>387</v>
      </c>
      <c r="V32" s="151" t="s">
        <v>378</v>
      </c>
      <c r="W32" s="165">
        <v>19</v>
      </c>
      <c r="X32" s="166">
        <v>108</v>
      </c>
      <c r="Y32">
        <f t="shared" si="4"/>
        <v>2.052</v>
      </c>
      <c r="Z32">
        <f t="shared" si="5"/>
        <v>4.104E-3</v>
      </c>
    </row>
    <row r="33" spans="1:26" ht="27" thickBot="1" x14ac:dyDescent="0.3">
      <c r="A33" s="149" t="s">
        <v>335</v>
      </c>
      <c r="B33" s="150" t="s">
        <v>337</v>
      </c>
      <c r="C33" s="151" t="s">
        <v>303</v>
      </c>
      <c r="D33" s="152" t="s">
        <v>304</v>
      </c>
      <c r="E33" s="150">
        <v>20</v>
      </c>
      <c r="F33" s="153">
        <v>57</v>
      </c>
      <c r="G33">
        <f t="shared" si="0"/>
        <v>1.1399999999999999</v>
      </c>
      <c r="H33">
        <f t="shared" si="1"/>
        <v>2.2799999999999999E-3</v>
      </c>
      <c r="S33" s="149" t="s">
        <v>403</v>
      </c>
      <c r="T33" s="150" t="s">
        <v>404</v>
      </c>
      <c r="U33" s="150" t="s">
        <v>387</v>
      </c>
      <c r="V33" s="151" t="s">
        <v>378</v>
      </c>
      <c r="W33" s="150">
        <v>12</v>
      </c>
      <c r="X33" s="151">
        <v>108</v>
      </c>
      <c r="Y33">
        <f t="shared" si="4"/>
        <v>1.296</v>
      </c>
      <c r="Z33">
        <f t="shared" si="5"/>
        <v>2.5920000000000001E-3</v>
      </c>
    </row>
    <row r="34" spans="1:26" ht="27" thickBot="1" x14ac:dyDescent="0.3">
      <c r="A34" s="149" t="s">
        <v>337</v>
      </c>
      <c r="B34" s="150" t="s">
        <v>338</v>
      </c>
      <c r="C34" s="151" t="s">
        <v>303</v>
      </c>
      <c r="D34" s="152" t="s">
        <v>304</v>
      </c>
      <c r="E34" s="150">
        <v>3</v>
      </c>
      <c r="F34" s="153">
        <v>45</v>
      </c>
      <c r="G34">
        <f t="shared" si="0"/>
        <v>0.13500000000000001</v>
      </c>
      <c r="H34">
        <f t="shared" si="1"/>
        <v>2.7E-4</v>
      </c>
      <c r="S34" s="149" t="s">
        <v>404</v>
      </c>
      <c r="T34" s="150" t="s">
        <v>405</v>
      </c>
      <c r="U34" s="150" t="s">
        <v>387</v>
      </c>
      <c r="V34" s="151" t="s">
        <v>378</v>
      </c>
      <c r="W34" s="150">
        <v>6.1</v>
      </c>
      <c r="X34" s="151">
        <v>89</v>
      </c>
      <c r="Y34">
        <f t="shared" si="4"/>
        <v>0.54289999999999994</v>
      </c>
      <c r="Z34">
        <f t="shared" si="5"/>
        <v>1.0857999999999998E-3</v>
      </c>
    </row>
    <row r="35" spans="1:26" ht="27" thickBot="1" x14ac:dyDescent="0.3">
      <c r="A35" s="149" t="s">
        <v>337</v>
      </c>
      <c r="B35" s="150" t="s">
        <v>339</v>
      </c>
      <c r="C35" s="151" t="s">
        <v>303</v>
      </c>
      <c r="D35" s="152" t="s">
        <v>304</v>
      </c>
      <c r="E35" s="150">
        <v>36</v>
      </c>
      <c r="F35" s="153">
        <v>57</v>
      </c>
      <c r="G35">
        <f t="shared" si="0"/>
        <v>2.052</v>
      </c>
      <c r="H35">
        <f t="shared" si="1"/>
        <v>4.104E-3</v>
      </c>
      <c r="S35" s="149" t="s">
        <v>404</v>
      </c>
      <c r="T35" s="150" t="s">
        <v>406</v>
      </c>
      <c r="U35" s="150" t="s">
        <v>387</v>
      </c>
      <c r="V35" s="151" t="s">
        <v>378</v>
      </c>
      <c r="W35" s="150">
        <v>27</v>
      </c>
      <c r="X35" s="151">
        <v>108</v>
      </c>
      <c r="Y35">
        <f t="shared" si="4"/>
        <v>2.9159999999999999</v>
      </c>
      <c r="Z35">
        <f t="shared" si="5"/>
        <v>5.8319999999999995E-3</v>
      </c>
    </row>
    <row r="36" spans="1:26" ht="27" thickBot="1" x14ac:dyDescent="0.3">
      <c r="A36" s="149" t="s">
        <v>340</v>
      </c>
      <c r="B36" s="150" t="s">
        <v>341</v>
      </c>
      <c r="C36" s="151" t="s">
        <v>303</v>
      </c>
      <c r="D36" s="152" t="s">
        <v>304</v>
      </c>
      <c r="E36" s="150">
        <v>35</v>
      </c>
      <c r="F36" s="153">
        <v>57</v>
      </c>
      <c r="G36">
        <f t="shared" si="0"/>
        <v>1.9950000000000001</v>
      </c>
      <c r="H36">
        <f t="shared" si="1"/>
        <v>3.9900000000000005E-3</v>
      </c>
      <c r="S36" s="149" t="s">
        <v>406</v>
      </c>
      <c r="T36" s="150" t="s">
        <v>407</v>
      </c>
      <c r="U36" s="150" t="s">
        <v>387</v>
      </c>
      <c r="V36" s="151" t="s">
        <v>378</v>
      </c>
      <c r="W36" s="150">
        <v>13.5</v>
      </c>
      <c r="X36" s="151">
        <v>108</v>
      </c>
      <c r="Y36">
        <f t="shared" si="4"/>
        <v>1.458</v>
      </c>
      <c r="Z36">
        <f t="shared" si="5"/>
        <v>2.9159999999999998E-3</v>
      </c>
    </row>
    <row r="37" spans="1:26" ht="27" thickBot="1" x14ac:dyDescent="0.3">
      <c r="A37" s="149" t="s">
        <v>342</v>
      </c>
      <c r="B37" s="150" t="s">
        <v>343</v>
      </c>
      <c r="C37" s="151" t="s">
        <v>303</v>
      </c>
      <c r="D37" s="152" t="s">
        <v>304</v>
      </c>
      <c r="E37" s="150">
        <v>14.7</v>
      </c>
      <c r="F37" s="153">
        <v>57</v>
      </c>
      <c r="G37">
        <f t="shared" si="0"/>
        <v>0.83789999999999998</v>
      </c>
      <c r="H37">
        <f t="shared" si="1"/>
        <v>1.6757999999999999E-3</v>
      </c>
      <c r="S37" s="154" t="s">
        <v>406</v>
      </c>
      <c r="T37" s="155" t="s">
        <v>408</v>
      </c>
      <c r="U37" s="155" t="s">
        <v>387</v>
      </c>
      <c r="V37" s="156" t="s">
        <v>378</v>
      </c>
      <c r="W37" s="155">
        <v>16.3</v>
      </c>
      <c r="X37" s="156">
        <v>89</v>
      </c>
      <c r="Y37">
        <f t="shared" si="4"/>
        <v>1.4507000000000001</v>
      </c>
      <c r="Z37">
        <f t="shared" si="5"/>
        <v>2.9014000000000002E-3</v>
      </c>
    </row>
    <row r="38" spans="1:26" ht="15.75" thickBot="1" x14ac:dyDescent="0.3">
      <c r="A38" s="149" t="s">
        <v>343</v>
      </c>
      <c r="B38" s="150" t="s">
        <v>344</v>
      </c>
      <c r="C38" s="151" t="s">
        <v>303</v>
      </c>
      <c r="D38" s="152" t="s">
        <v>304</v>
      </c>
      <c r="E38" s="150">
        <v>6.2</v>
      </c>
      <c r="F38" s="153">
        <v>57</v>
      </c>
      <c r="G38">
        <f t="shared" si="0"/>
        <v>0.35340000000000005</v>
      </c>
      <c r="H38">
        <f t="shared" si="1"/>
        <v>7.0680000000000005E-4</v>
      </c>
      <c r="S38" s="167" t="s">
        <v>301</v>
      </c>
      <c r="T38" s="168" t="s">
        <v>302</v>
      </c>
      <c r="U38" s="158" t="s">
        <v>409</v>
      </c>
      <c r="V38" s="158" t="s">
        <v>375</v>
      </c>
      <c r="W38" s="168">
        <v>71.599999999999994</v>
      </c>
      <c r="X38" s="158">
        <v>76</v>
      </c>
      <c r="Y38">
        <f t="shared" si="4"/>
        <v>5.4415999999999993</v>
      </c>
      <c r="Z38">
        <f t="shared" si="5"/>
        <v>1.0883199999999999E-2</v>
      </c>
    </row>
    <row r="39" spans="1:26" ht="27" thickBot="1" x14ac:dyDescent="0.3">
      <c r="A39" s="154" t="s">
        <v>344</v>
      </c>
      <c r="B39" s="155" t="s">
        <v>345</v>
      </c>
      <c r="C39" s="151" t="s">
        <v>303</v>
      </c>
      <c r="D39" s="152" t="s">
        <v>304</v>
      </c>
      <c r="E39" s="155">
        <v>38</v>
      </c>
      <c r="F39" s="156">
        <v>57</v>
      </c>
      <c r="G39">
        <f t="shared" si="0"/>
        <v>2.1659999999999999</v>
      </c>
      <c r="H39">
        <f t="shared" si="1"/>
        <v>4.3319999999999999E-3</v>
      </c>
      <c r="S39" s="149" t="s">
        <v>305</v>
      </c>
      <c r="T39" s="150" t="s">
        <v>410</v>
      </c>
      <c r="U39" s="151" t="s">
        <v>409</v>
      </c>
      <c r="V39" s="151" t="s">
        <v>375</v>
      </c>
      <c r="W39" s="150">
        <v>26</v>
      </c>
      <c r="X39" s="151">
        <v>76</v>
      </c>
      <c r="Y39">
        <f t="shared" si="4"/>
        <v>1.976</v>
      </c>
      <c r="Z39">
        <f t="shared" si="5"/>
        <v>3.9519999999999998E-3</v>
      </c>
    </row>
    <row r="40" spans="1:26" ht="15.75" thickBot="1" x14ac:dyDescent="0.3">
      <c r="A40" s="157" t="s">
        <v>346</v>
      </c>
      <c r="B40" s="158" t="s">
        <v>347</v>
      </c>
      <c r="C40" s="151" t="s">
        <v>303</v>
      </c>
      <c r="D40" s="152" t="s">
        <v>304</v>
      </c>
      <c r="E40" s="158">
        <v>13.4</v>
      </c>
      <c r="F40" s="158">
        <v>57</v>
      </c>
      <c r="G40">
        <f t="shared" si="0"/>
        <v>0.76380000000000003</v>
      </c>
      <c r="H40">
        <f t="shared" si="1"/>
        <v>1.5276000000000001E-3</v>
      </c>
      <c r="S40" s="149" t="s">
        <v>306</v>
      </c>
      <c r="T40" s="150" t="s">
        <v>307</v>
      </c>
      <c r="U40" s="151" t="s">
        <v>409</v>
      </c>
      <c r="V40" s="151" t="s">
        <v>375</v>
      </c>
      <c r="W40" s="150">
        <v>54.8</v>
      </c>
      <c r="X40" s="151">
        <v>159</v>
      </c>
      <c r="Y40">
        <f t="shared" si="4"/>
        <v>8.7131999999999987</v>
      </c>
      <c r="Z40">
        <f t="shared" si="5"/>
        <v>1.7426399999999998E-2</v>
      </c>
    </row>
    <row r="41" spans="1:26" ht="15.75" thickBot="1" x14ac:dyDescent="0.3">
      <c r="A41" s="159" t="s">
        <v>348</v>
      </c>
      <c r="B41" s="151" t="s">
        <v>349</v>
      </c>
      <c r="C41" s="151" t="s">
        <v>303</v>
      </c>
      <c r="D41" s="152" t="s">
        <v>304</v>
      </c>
      <c r="E41" s="151">
        <v>27</v>
      </c>
      <c r="F41" s="151">
        <v>57</v>
      </c>
      <c r="G41">
        <f t="shared" si="0"/>
        <v>1.5389999999999999</v>
      </c>
      <c r="H41">
        <f t="shared" si="1"/>
        <v>3.078E-3</v>
      </c>
      <c r="S41" s="149" t="s">
        <v>398</v>
      </c>
      <c r="T41" s="150" t="s">
        <v>368</v>
      </c>
      <c r="U41" s="151" t="s">
        <v>409</v>
      </c>
      <c r="V41" s="151" t="s">
        <v>375</v>
      </c>
      <c r="W41" s="150">
        <v>6</v>
      </c>
      <c r="X41" s="151">
        <v>159</v>
      </c>
      <c r="Y41">
        <f t="shared" si="4"/>
        <v>0.95399999999999996</v>
      </c>
      <c r="Z41">
        <f t="shared" si="5"/>
        <v>1.908E-3</v>
      </c>
    </row>
    <row r="42" spans="1:26" ht="15.75" thickBot="1" x14ac:dyDescent="0.3">
      <c r="A42" s="159" t="s">
        <v>350</v>
      </c>
      <c r="B42" s="151" t="s">
        <v>351</v>
      </c>
      <c r="C42" s="151" t="s">
        <v>303</v>
      </c>
      <c r="D42" s="152" t="s">
        <v>304</v>
      </c>
      <c r="E42" s="151">
        <v>21.4</v>
      </c>
      <c r="F42" s="151">
        <v>57</v>
      </c>
      <c r="G42">
        <f t="shared" si="0"/>
        <v>1.2198</v>
      </c>
      <c r="H42">
        <f t="shared" si="1"/>
        <v>2.4396000000000001E-3</v>
      </c>
      <c r="S42" s="149" t="s">
        <v>313</v>
      </c>
      <c r="T42" s="150" t="s">
        <v>314</v>
      </c>
      <c r="U42" s="151" t="s">
        <v>409</v>
      </c>
      <c r="V42" s="151" t="s">
        <v>375</v>
      </c>
      <c r="W42" s="150">
        <v>16.5</v>
      </c>
      <c r="X42" s="151">
        <v>57</v>
      </c>
      <c r="Y42">
        <f t="shared" si="4"/>
        <v>0.9405</v>
      </c>
      <c r="Z42">
        <f t="shared" si="5"/>
        <v>1.8810000000000001E-3</v>
      </c>
    </row>
    <row r="43" spans="1:26" ht="27" thickBot="1" x14ac:dyDescent="0.3">
      <c r="A43" s="149" t="s">
        <v>302</v>
      </c>
      <c r="B43" s="150" t="s">
        <v>352</v>
      </c>
      <c r="C43" s="151" t="s">
        <v>353</v>
      </c>
      <c r="D43" s="152" t="s">
        <v>304</v>
      </c>
      <c r="E43" s="150">
        <v>4.5</v>
      </c>
      <c r="F43" s="153">
        <v>57</v>
      </c>
      <c r="G43">
        <f t="shared" si="0"/>
        <v>0.25650000000000001</v>
      </c>
      <c r="H43">
        <f t="shared" si="1"/>
        <v>5.13E-4</v>
      </c>
      <c r="S43" s="154" t="s">
        <v>368</v>
      </c>
      <c r="T43" s="155" t="s">
        <v>315</v>
      </c>
      <c r="U43" s="156" t="s">
        <v>409</v>
      </c>
      <c r="V43" s="156" t="s">
        <v>375</v>
      </c>
      <c r="W43" s="155">
        <v>57.5</v>
      </c>
      <c r="X43" s="156">
        <v>159</v>
      </c>
      <c r="Y43">
        <f t="shared" si="4"/>
        <v>9.1425000000000001</v>
      </c>
      <c r="Z43">
        <f t="shared" si="5"/>
        <v>1.8284999999999999E-2</v>
      </c>
    </row>
    <row r="44" spans="1:26" ht="27" thickBot="1" x14ac:dyDescent="0.3">
      <c r="A44" s="149" t="s">
        <v>354</v>
      </c>
      <c r="B44" s="150" t="s">
        <v>355</v>
      </c>
      <c r="C44" s="151" t="s">
        <v>353</v>
      </c>
      <c r="D44" s="152" t="s">
        <v>304</v>
      </c>
      <c r="E44" s="150">
        <v>85</v>
      </c>
      <c r="F44" s="153">
        <v>76</v>
      </c>
      <c r="G44">
        <f t="shared" si="0"/>
        <v>6.46</v>
      </c>
      <c r="H44">
        <f t="shared" si="1"/>
        <v>1.2919999999999999E-2</v>
      </c>
      <c r="S44" s="486" t="s">
        <v>372</v>
      </c>
      <c r="T44" s="487"/>
      <c r="U44" s="163"/>
      <c r="V44" s="163"/>
      <c r="W44" s="162">
        <v>1038</v>
      </c>
      <c r="X44" s="163"/>
      <c r="Y44">
        <f>SUM(Y5:Y43)</f>
        <v>107.6327</v>
      </c>
      <c r="Z44">
        <f>SUM(Z5:Z43)</f>
        <v>0.21526540000000002</v>
      </c>
    </row>
    <row r="45" spans="1:26" ht="27" thickBot="1" x14ac:dyDescent="0.3">
      <c r="A45" s="149" t="s">
        <v>308</v>
      </c>
      <c r="B45" s="150" t="s">
        <v>309</v>
      </c>
      <c r="C45" s="151" t="s">
        <v>353</v>
      </c>
      <c r="D45" s="152" t="s">
        <v>304</v>
      </c>
      <c r="E45" s="150">
        <v>35</v>
      </c>
      <c r="F45" s="153">
        <v>159</v>
      </c>
      <c r="G45">
        <f t="shared" si="0"/>
        <v>5.5650000000000004</v>
      </c>
      <c r="H45">
        <f t="shared" si="1"/>
        <v>1.1130000000000001E-2</v>
      </c>
    </row>
    <row r="46" spans="1:26" ht="27" thickBot="1" x14ac:dyDescent="0.3">
      <c r="A46" s="149" t="s">
        <v>312</v>
      </c>
      <c r="B46" s="150" t="s">
        <v>356</v>
      </c>
      <c r="C46" s="151" t="s">
        <v>353</v>
      </c>
      <c r="D46" s="152" t="s">
        <v>304</v>
      </c>
      <c r="E46" s="150">
        <v>56.5</v>
      </c>
      <c r="F46" s="153">
        <v>76</v>
      </c>
      <c r="G46">
        <f t="shared" si="0"/>
        <v>4.2939999999999996</v>
      </c>
      <c r="H46">
        <f t="shared" si="1"/>
        <v>8.5879999999999984E-3</v>
      </c>
    </row>
    <row r="47" spans="1:26" ht="27" thickBot="1" x14ac:dyDescent="0.3">
      <c r="A47" s="149" t="s">
        <v>315</v>
      </c>
      <c r="B47" s="150" t="s">
        <v>316</v>
      </c>
      <c r="C47" s="151" t="s">
        <v>353</v>
      </c>
      <c r="D47" s="152" t="s">
        <v>304</v>
      </c>
      <c r="E47" s="150">
        <v>16.5</v>
      </c>
      <c r="F47" s="153">
        <v>108</v>
      </c>
      <c r="G47">
        <f t="shared" si="0"/>
        <v>1.782</v>
      </c>
      <c r="H47">
        <f t="shared" si="1"/>
        <v>3.5639999999999999E-3</v>
      </c>
    </row>
    <row r="48" spans="1:26" ht="27" thickBot="1" x14ac:dyDescent="0.3">
      <c r="A48" s="149" t="s">
        <v>320</v>
      </c>
      <c r="B48" s="150" t="s">
        <v>321</v>
      </c>
      <c r="C48" s="151" t="s">
        <v>353</v>
      </c>
      <c r="D48" s="152" t="s">
        <v>304</v>
      </c>
      <c r="E48" s="150">
        <v>16</v>
      </c>
      <c r="F48" s="153">
        <v>159</v>
      </c>
      <c r="G48">
        <f t="shared" si="0"/>
        <v>2.544</v>
      </c>
      <c r="H48">
        <f t="shared" si="1"/>
        <v>5.0880000000000005E-3</v>
      </c>
    </row>
    <row r="49" spans="1:8" ht="27" thickBot="1" x14ac:dyDescent="0.3">
      <c r="A49" s="149" t="s">
        <v>330</v>
      </c>
      <c r="B49" s="150" t="s">
        <v>357</v>
      </c>
      <c r="C49" s="151" t="s">
        <v>353</v>
      </c>
      <c r="D49" s="152" t="s">
        <v>304</v>
      </c>
      <c r="E49" s="150">
        <v>8.1</v>
      </c>
      <c r="F49" s="153">
        <v>76</v>
      </c>
      <c r="G49">
        <f t="shared" si="0"/>
        <v>0.61560000000000004</v>
      </c>
      <c r="H49">
        <f t="shared" si="1"/>
        <v>1.2312E-3</v>
      </c>
    </row>
    <row r="50" spans="1:8" ht="27" thickBot="1" x14ac:dyDescent="0.3">
      <c r="A50" s="149" t="s">
        <v>331</v>
      </c>
      <c r="B50" s="150" t="s">
        <v>332</v>
      </c>
      <c r="C50" s="151" t="s">
        <v>353</v>
      </c>
      <c r="D50" s="152" t="s">
        <v>304</v>
      </c>
      <c r="E50" s="150">
        <v>36.700000000000003</v>
      </c>
      <c r="F50" s="153">
        <v>159</v>
      </c>
      <c r="G50">
        <f t="shared" si="0"/>
        <v>5.8353000000000002</v>
      </c>
      <c r="H50">
        <f t="shared" si="1"/>
        <v>1.16706E-2</v>
      </c>
    </row>
    <row r="51" spans="1:8" ht="27" thickBot="1" x14ac:dyDescent="0.3">
      <c r="A51" s="149" t="s">
        <v>332</v>
      </c>
      <c r="B51" s="150" t="s">
        <v>358</v>
      </c>
      <c r="C51" s="151" t="s">
        <v>353</v>
      </c>
      <c r="D51" s="152" t="s">
        <v>304</v>
      </c>
      <c r="E51" s="150">
        <v>15</v>
      </c>
      <c r="F51" s="153">
        <v>159</v>
      </c>
      <c r="G51">
        <f t="shared" si="0"/>
        <v>2.3849999999999998</v>
      </c>
      <c r="H51">
        <f t="shared" si="1"/>
        <v>4.7699999999999999E-3</v>
      </c>
    </row>
    <row r="52" spans="1:8" ht="27" thickBot="1" x14ac:dyDescent="0.3">
      <c r="A52" s="149" t="s">
        <v>358</v>
      </c>
      <c r="B52" s="150" t="s">
        <v>359</v>
      </c>
      <c r="C52" s="151" t="s">
        <v>353</v>
      </c>
      <c r="D52" s="152" t="s">
        <v>304</v>
      </c>
      <c r="E52" s="150">
        <v>18</v>
      </c>
      <c r="F52" s="153">
        <v>108</v>
      </c>
      <c r="G52">
        <f t="shared" si="0"/>
        <v>1.944</v>
      </c>
      <c r="H52">
        <f t="shared" si="1"/>
        <v>3.888E-3</v>
      </c>
    </row>
    <row r="53" spans="1:8" ht="27" thickBot="1" x14ac:dyDescent="0.3">
      <c r="A53" s="149" t="s">
        <v>358</v>
      </c>
      <c r="B53" s="150" t="s">
        <v>340</v>
      </c>
      <c r="C53" s="151" t="s">
        <v>353</v>
      </c>
      <c r="D53" s="152" t="s">
        <v>304</v>
      </c>
      <c r="E53" s="150">
        <v>55.5</v>
      </c>
      <c r="F53" s="153">
        <v>108</v>
      </c>
      <c r="G53">
        <f t="shared" si="0"/>
        <v>5.9939999999999998</v>
      </c>
      <c r="H53">
        <f t="shared" si="1"/>
        <v>1.1988E-2</v>
      </c>
    </row>
    <row r="54" spans="1:8" ht="27" thickBot="1" x14ac:dyDescent="0.3">
      <c r="A54" s="149" t="s">
        <v>340</v>
      </c>
      <c r="B54" s="150" t="s">
        <v>342</v>
      </c>
      <c r="C54" s="151" t="s">
        <v>353</v>
      </c>
      <c r="D54" s="152" t="s">
        <v>304</v>
      </c>
      <c r="E54" s="150">
        <v>3</v>
      </c>
      <c r="F54" s="153">
        <v>57</v>
      </c>
      <c r="G54">
        <f t="shared" si="0"/>
        <v>0.17100000000000001</v>
      </c>
      <c r="H54">
        <f t="shared" si="1"/>
        <v>3.4200000000000002E-4</v>
      </c>
    </row>
    <row r="55" spans="1:8" ht="27" thickBot="1" x14ac:dyDescent="0.3">
      <c r="A55" s="149" t="s">
        <v>345</v>
      </c>
      <c r="B55" s="150" t="s">
        <v>360</v>
      </c>
      <c r="C55" s="151" t="s">
        <v>353</v>
      </c>
      <c r="D55" s="152" t="s">
        <v>304</v>
      </c>
      <c r="E55" s="150">
        <v>71</v>
      </c>
      <c r="F55" s="153">
        <v>57</v>
      </c>
      <c r="G55">
        <f t="shared" si="0"/>
        <v>4.0469999999999997</v>
      </c>
      <c r="H55">
        <f t="shared" si="1"/>
        <v>8.0939999999999988E-3</v>
      </c>
    </row>
    <row r="56" spans="1:8" ht="27" thickBot="1" x14ac:dyDescent="0.3">
      <c r="A56" s="149" t="s">
        <v>360</v>
      </c>
      <c r="B56" s="150" t="s">
        <v>361</v>
      </c>
      <c r="C56" s="151" t="s">
        <v>353</v>
      </c>
      <c r="D56" s="152" t="s">
        <v>304</v>
      </c>
      <c r="E56" s="150">
        <v>5</v>
      </c>
      <c r="F56" s="153">
        <v>45</v>
      </c>
      <c r="G56">
        <f t="shared" si="0"/>
        <v>0.22500000000000001</v>
      </c>
      <c r="H56">
        <f t="shared" si="1"/>
        <v>4.4999999999999999E-4</v>
      </c>
    </row>
    <row r="57" spans="1:8" ht="27" thickBot="1" x14ac:dyDescent="0.3">
      <c r="A57" s="149" t="s">
        <v>360</v>
      </c>
      <c r="B57" s="150" t="s">
        <v>362</v>
      </c>
      <c r="C57" s="151" t="s">
        <v>353</v>
      </c>
      <c r="D57" s="152" t="s">
        <v>304</v>
      </c>
      <c r="E57" s="150">
        <v>5</v>
      </c>
      <c r="F57" s="153">
        <v>45</v>
      </c>
      <c r="G57">
        <f t="shared" si="0"/>
        <v>0.22500000000000001</v>
      </c>
      <c r="H57">
        <f t="shared" si="1"/>
        <v>4.4999999999999999E-4</v>
      </c>
    </row>
    <row r="58" spans="1:8" ht="27" thickBot="1" x14ac:dyDescent="0.3">
      <c r="A58" s="149" t="s">
        <v>360</v>
      </c>
      <c r="B58" s="150" t="s">
        <v>348</v>
      </c>
      <c r="C58" s="151" t="s">
        <v>353</v>
      </c>
      <c r="D58" s="152" t="s">
        <v>304</v>
      </c>
      <c r="E58" s="150">
        <v>7.3</v>
      </c>
      <c r="F58" s="153">
        <v>57</v>
      </c>
      <c r="G58">
        <f t="shared" si="0"/>
        <v>0.41609999999999997</v>
      </c>
      <c r="H58">
        <f t="shared" si="1"/>
        <v>8.3219999999999995E-4</v>
      </c>
    </row>
    <row r="59" spans="1:8" ht="27" thickBot="1" x14ac:dyDescent="0.3">
      <c r="A59" s="149" t="s">
        <v>348</v>
      </c>
      <c r="B59" s="150" t="s">
        <v>346</v>
      </c>
      <c r="C59" s="151" t="s">
        <v>353</v>
      </c>
      <c r="D59" s="152" t="s">
        <v>304</v>
      </c>
      <c r="E59" s="150">
        <v>20.5</v>
      </c>
      <c r="F59" s="153">
        <v>32</v>
      </c>
      <c r="G59">
        <f t="shared" si="0"/>
        <v>0.65600000000000003</v>
      </c>
      <c r="H59">
        <f t="shared" si="1"/>
        <v>1.312E-3</v>
      </c>
    </row>
    <row r="60" spans="1:8" ht="27" thickBot="1" x14ac:dyDescent="0.3">
      <c r="A60" s="149" t="s">
        <v>349</v>
      </c>
      <c r="B60" s="150" t="s">
        <v>350</v>
      </c>
      <c r="C60" s="151" t="s">
        <v>353</v>
      </c>
      <c r="D60" s="152" t="s">
        <v>304</v>
      </c>
      <c r="E60" s="150">
        <v>4.5</v>
      </c>
      <c r="F60" s="153">
        <v>57</v>
      </c>
      <c r="G60">
        <f t="shared" si="0"/>
        <v>0.25650000000000001</v>
      </c>
      <c r="H60">
        <f t="shared" si="1"/>
        <v>5.13E-4</v>
      </c>
    </row>
    <row r="61" spans="1:8" ht="27" thickBot="1" x14ac:dyDescent="0.3">
      <c r="A61" s="149" t="s">
        <v>351</v>
      </c>
      <c r="B61" s="150" t="s">
        <v>363</v>
      </c>
      <c r="C61" s="151" t="s">
        <v>353</v>
      </c>
      <c r="D61" s="152" t="s">
        <v>304</v>
      </c>
      <c r="E61" s="150">
        <v>17.2</v>
      </c>
      <c r="F61" s="153">
        <v>57</v>
      </c>
      <c r="G61">
        <f t="shared" si="0"/>
        <v>0.98039999999999994</v>
      </c>
      <c r="H61">
        <f t="shared" si="1"/>
        <v>1.9608E-3</v>
      </c>
    </row>
    <row r="62" spans="1:8" ht="27" thickBot="1" x14ac:dyDescent="0.3">
      <c r="A62" s="149" t="s">
        <v>351</v>
      </c>
      <c r="B62" s="150" t="s">
        <v>364</v>
      </c>
      <c r="C62" s="151" t="s">
        <v>353</v>
      </c>
      <c r="D62" s="152" t="s">
        <v>304</v>
      </c>
      <c r="E62" s="150">
        <v>18.100000000000001</v>
      </c>
      <c r="F62" s="153">
        <v>45</v>
      </c>
      <c r="G62">
        <f t="shared" si="0"/>
        <v>0.81450000000000011</v>
      </c>
      <c r="H62">
        <f t="shared" si="1"/>
        <v>1.6290000000000002E-3</v>
      </c>
    </row>
    <row r="63" spans="1:8" ht="27" thickBot="1" x14ac:dyDescent="0.3">
      <c r="A63" s="149" t="s">
        <v>342</v>
      </c>
      <c r="B63" s="150" t="s">
        <v>365</v>
      </c>
      <c r="C63" s="151" t="s">
        <v>353</v>
      </c>
      <c r="D63" s="152" t="s">
        <v>304</v>
      </c>
      <c r="E63" s="150">
        <v>63.7</v>
      </c>
      <c r="F63" s="153">
        <v>57</v>
      </c>
      <c r="G63">
        <f t="shared" si="0"/>
        <v>3.6309</v>
      </c>
      <c r="H63">
        <f t="shared" si="1"/>
        <v>7.2617999999999997E-3</v>
      </c>
    </row>
    <row r="64" spans="1:8" ht="27" thickBot="1" x14ac:dyDescent="0.3">
      <c r="A64" s="154" t="s">
        <v>352</v>
      </c>
      <c r="B64" s="155" t="s">
        <v>354</v>
      </c>
      <c r="C64" s="156" t="s">
        <v>353</v>
      </c>
      <c r="D64" s="160" t="s">
        <v>304</v>
      </c>
      <c r="E64" s="155">
        <v>93.5</v>
      </c>
      <c r="F64" s="156">
        <v>57</v>
      </c>
      <c r="G64">
        <f t="shared" si="0"/>
        <v>5.3295000000000003</v>
      </c>
      <c r="H64">
        <f t="shared" si="1"/>
        <v>1.0659E-2</v>
      </c>
    </row>
    <row r="65" spans="1:8" ht="27" thickBot="1" x14ac:dyDescent="0.3">
      <c r="A65" s="157" t="s">
        <v>366</v>
      </c>
      <c r="B65" s="158" t="s">
        <v>301</v>
      </c>
      <c r="C65" s="158" t="s">
        <v>303</v>
      </c>
      <c r="D65" s="161" t="s">
        <v>367</v>
      </c>
      <c r="E65" s="158">
        <v>5.6</v>
      </c>
      <c r="F65" s="158">
        <v>159</v>
      </c>
      <c r="G65">
        <f t="shared" si="0"/>
        <v>0.89039999999999997</v>
      </c>
      <c r="H65">
        <f t="shared" si="1"/>
        <v>1.7807999999999999E-3</v>
      </c>
    </row>
    <row r="66" spans="1:8" ht="15.75" thickBot="1" x14ac:dyDescent="0.3">
      <c r="A66" s="159" t="s">
        <v>301</v>
      </c>
      <c r="B66" s="151" t="s">
        <v>305</v>
      </c>
      <c r="C66" s="151" t="s">
        <v>303</v>
      </c>
      <c r="D66" s="152" t="s">
        <v>367</v>
      </c>
      <c r="E66" s="151">
        <v>44.3</v>
      </c>
      <c r="F66" s="151">
        <v>159</v>
      </c>
      <c r="G66">
        <f t="shared" si="0"/>
        <v>7.0436999999999994</v>
      </c>
      <c r="H66">
        <f t="shared" si="1"/>
        <v>1.4087399999999998E-2</v>
      </c>
    </row>
    <row r="67" spans="1:8" ht="15.75" thickBot="1" x14ac:dyDescent="0.3">
      <c r="A67" s="159" t="s">
        <v>368</v>
      </c>
      <c r="B67" s="151" t="s">
        <v>369</v>
      </c>
      <c r="C67" s="151" t="s">
        <v>303</v>
      </c>
      <c r="D67" s="152" t="s">
        <v>367</v>
      </c>
      <c r="E67" s="151">
        <v>35</v>
      </c>
      <c r="F67" s="151">
        <v>108</v>
      </c>
      <c r="G67">
        <f t="shared" si="0"/>
        <v>3.78</v>
      </c>
      <c r="H67">
        <f t="shared" si="1"/>
        <v>7.5599999999999999E-3</v>
      </c>
    </row>
    <row r="68" spans="1:8" ht="27" thickBot="1" x14ac:dyDescent="0.3">
      <c r="A68" s="159" t="s">
        <v>343</v>
      </c>
      <c r="B68" s="151" t="s">
        <v>370</v>
      </c>
      <c r="C68" s="151" t="s">
        <v>303</v>
      </c>
      <c r="D68" s="152" t="s">
        <v>367</v>
      </c>
      <c r="E68" s="151">
        <v>7.2</v>
      </c>
      <c r="F68" s="151">
        <v>32</v>
      </c>
      <c r="G68">
        <f t="shared" si="0"/>
        <v>0.23039999999999999</v>
      </c>
      <c r="H68">
        <f t="shared" si="1"/>
        <v>4.6079999999999998E-4</v>
      </c>
    </row>
    <row r="69" spans="1:8" ht="27" thickBot="1" x14ac:dyDescent="0.3">
      <c r="A69" s="149" t="s">
        <v>312</v>
      </c>
      <c r="B69" s="150" t="s">
        <v>368</v>
      </c>
      <c r="C69" s="151" t="s">
        <v>353</v>
      </c>
      <c r="D69" s="152" t="s">
        <v>367</v>
      </c>
      <c r="E69" s="150">
        <v>6.5</v>
      </c>
      <c r="F69" s="153">
        <v>108</v>
      </c>
      <c r="G69">
        <f t="shared" si="0"/>
        <v>0.70199999999999996</v>
      </c>
      <c r="H69">
        <f t="shared" si="1"/>
        <v>1.4039999999999999E-3</v>
      </c>
    </row>
    <row r="70" spans="1:8" ht="27" thickBot="1" x14ac:dyDescent="0.3">
      <c r="A70" s="154" t="s">
        <v>350</v>
      </c>
      <c r="B70" s="155" t="s">
        <v>371</v>
      </c>
      <c r="C70" s="156" t="s">
        <v>353</v>
      </c>
      <c r="D70" s="160" t="s">
        <v>367</v>
      </c>
      <c r="E70" s="155">
        <v>7</v>
      </c>
      <c r="F70" s="156">
        <v>32</v>
      </c>
      <c r="G70">
        <f t="shared" ref="G70" si="8">E70*F70/1000</f>
        <v>0.224</v>
      </c>
      <c r="H70">
        <f t="shared" ref="H70" si="9">G70*2/1000</f>
        <v>4.4799999999999999E-4</v>
      </c>
    </row>
    <row r="71" spans="1:8" ht="15.75" thickBot="1" x14ac:dyDescent="0.3">
      <c r="A71" s="484" t="s">
        <v>372</v>
      </c>
      <c r="B71" s="485"/>
      <c r="C71" s="162"/>
      <c r="D71" s="162"/>
      <c r="E71" s="162">
        <v>1495</v>
      </c>
      <c r="F71" s="162"/>
      <c r="G71">
        <f>SUM(G5:G70)</f>
        <v>149.86340000000001</v>
      </c>
      <c r="H71">
        <f>SUM(H5:H70)</f>
        <v>0.2997267999999999</v>
      </c>
    </row>
    <row r="83" spans="6:10" ht="15.75" thickBot="1" x14ac:dyDescent="0.3"/>
    <row r="84" spans="6:10" ht="52.5" thickBot="1" x14ac:dyDescent="0.3">
      <c r="F84" s="169" t="s">
        <v>1</v>
      </c>
      <c r="G84" s="170" t="s">
        <v>27</v>
      </c>
      <c r="H84" s="14" t="s">
        <v>416</v>
      </c>
      <c r="I84" s="14" t="s">
        <v>417</v>
      </c>
      <c r="J84" s="14" t="s">
        <v>418</v>
      </c>
    </row>
    <row r="85" spans="6:10" ht="60.75" thickBot="1" x14ac:dyDescent="0.3">
      <c r="F85" s="171">
        <v>1</v>
      </c>
      <c r="G85" s="20" t="s">
        <v>419</v>
      </c>
      <c r="H85" s="175">
        <f>H71</f>
        <v>0.2997267999999999</v>
      </c>
      <c r="I85" s="172">
        <v>624.29999999999995</v>
      </c>
      <c r="J85" s="172">
        <v>355.6</v>
      </c>
    </row>
    <row r="86" spans="6:10" ht="60.75" thickBot="1" x14ac:dyDescent="0.3">
      <c r="F86" s="171">
        <v>2</v>
      </c>
      <c r="G86" s="20" t="s">
        <v>420</v>
      </c>
      <c r="H86" s="176">
        <f>Q12</f>
        <v>5.3496000000000002E-2</v>
      </c>
      <c r="I86">
        <v>117.9</v>
      </c>
      <c r="J86">
        <v>47.9</v>
      </c>
    </row>
    <row r="87" spans="6:10" ht="60.75" thickBot="1" x14ac:dyDescent="0.3">
      <c r="F87" s="171">
        <v>3</v>
      </c>
      <c r="G87" s="20" t="s">
        <v>421</v>
      </c>
      <c r="H87" s="176">
        <f>Z44</f>
        <v>0.21526540000000002</v>
      </c>
      <c r="I87">
        <v>421.5</v>
      </c>
      <c r="J87">
        <v>242.3</v>
      </c>
    </row>
    <row r="88" spans="6:10" ht="60.75" thickBot="1" x14ac:dyDescent="0.3">
      <c r="F88" s="171">
        <v>4</v>
      </c>
      <c r="G88" s="20" t="s">
        <v>422</v>
      </c>
      <c r="H88" s="176">
        <f>AI11</f>
        <v>3.7648000000000001E-2</v>
      </c>
      <c r="I88">
        <v>93.6</v>
      </c>
      <c r="J88">
        <v>25</v>
      </c>
    </row>
  </sheetData>
  <mergeCells count="8">
    <mergeCell ref="AF11:AF12"/>
    <mergeCell ref="AG11:AG12"/>
    <mergeCell ref="A71:B71"/>
    <mergeCell ref="J12:K12"/>
    <mergeCell ref="S44:T44"/>
    <mergeCell ref="AB11:AC12"/>
    <mergeCell ref="AD11:AD12"/>
    <mergeCell ref="AE11:AE12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136"/>
  <sheetViews>
    <sheetView topLeftCell="E85" workbookViewId="0">
      <selection activeCell="J94" sqref="J94:J135"/>
    </sheetView>
  </sheetViews>
  <sheetFormatPr defaultColWidth="15.42578125" defaultRowHeight="15" x14ac:dyDescent="0.25"/>
  <cols>
    <col min="4" max="4" width="30.7109375" customWidth="1"/>
  </cols>
  <sheetData>
    <row r="1" spans="1:35" x14ac:dyDescent="0.25">
      <c r="B1" t="s">
        <v>373</v>
      </c>
      <c r="J1" t="s">
        <v>382</v>
      </c>
      <c r="S1" t="s">
        <v>415</v>
      </c>
      <c r="AB1" t="s">
        <v>414</v>
      </c>
    </row>
    <row r="2" spans="1:35" ht="15.75" thickBot="1" x14ac:dyDescent="0.3"/>
    <row r="3" spans="1:35" ht="30.75" thickBot="1" x14ac:dyDescent="0.3">
      <c r="A3" s="145" t="s">
        <v>295</v>
      </c>
      <c r="B3" s="146" t="s">
        <v>296</v>
      </c>
      <c r="C3" s="146" t="s">
        <v>297</v>
      </c>
      <c r="D3" s="146" t="s">
        <v>298</v>
      </c>
      <c r="E3" s="146" t="s">
        <v>299</v>
      </c>
      <c r="F3" s="146" t="s">
        <v>300</v>
      </c>
      <c r="J3" s="145" t="s">
        <v>295</v>
      </c>
      <c r="K3" s="146" t="s">
        <v>296</v>
      </c>
      <c r="L3" s="146" t="s">
        <v>297</v>
      </c>
      <c r="M3" s="146" t="s">
        <v>298</v>
      </c>
      <c r="N3" s="146" t="s">
        <v>299</v>
      </c>
      <c r="O3" s="146" t="s">
        <v>300</v>
      </c>
      <c r="S3" s="145" t="s">
        <v>295</v>
      </c>
      <c r="T3" s="146" t="s">
        <v>296</v>
      </c>
      <c r="U3" s="146" t="s">
        <v>297</v>
      </c>
      <c r="V3" s="146" t="s">
        <v>298</v>
      </c>
      <c r="W3" s="146" t="s">
        <v>299</v>
      </c>
      <c r="X3" s="146" t="s">
        <v>300</v>
      </c>
      <c r="AB3" s="145" t="s">
        <v>295</v>
      </c>
      <c r="AC3" s="146" t="s">
        <v>296</v>
      </c>
      <c r="AD3" s="146" t="s">
        <v>297</v>
      </c>
      <c r="AE3" s="146" t="s">
        <v>298</v>
      </c>
      <c r="AF3" s="146" t="s">
        <v>299</v>
      </c>
      <c r="AG3" s="146" t="s">
        <v>300</v>
      </c>
    </row>
    <row r="4" spans="1:35" ht="15.75" thickBot="1" x14ac:dyDescent="0.3">
      <c r="A4" s="147">
        <v>1</v>
      </c>
      <c r="B4" s="148">
        <v>2</v>
      </c>
      <c r="C4" s="148">
        <v>3</v>
      </c>
      <c r="D4" s="148">
        <v>4</v>
      </c>
      <c r="E4" s="148">
        <v>5</v>
      </c>
      <c r="F4" s="148">
        <v>6</v>
      </c>
      <c r="J4" s="147">
        <v>2</v>
      </c>
      <c r="K4" s="148">
        <v>3</v>
      </c>
      <c r="L4" s="148">
        <v>4</v>
      </c>
      <c r="M4" s="148">
        <v>5</v>
      </c>
      <c r="N4" s="148">
        <v>6</v>
      </c>
      <c r="O4" s="148">
        <v>7</v>
      </c>
      <c r="S4" s="147">
        <v>1</v>
      </c>
      <c r="T4" s="148">
        <v>2</v>
      </c>
      <c r="U4" s="148">
        <v>3</v>
      </c>
      <c r="V4" s="148">
        <v>4</v>
      </c>
      <c r="W4" s="148">
        <v>5</v>
      </c>
      <c r="X4" s="148">
        <v>6</v>
      </c>
      <c r="AB4" s="147">
        <v>1</v>
      </c>
      <c r="AC4" s="148">
        <v>2</v>
      </c>
      <c r="AD4" s="148">
        <v>3</v>
      </c>
      <c r="AE4" s="148">
        <v>4</v>
      </c>
      <c r="AF4" s="148">
        <v>5</v>
      </c>
      <c r="AG4" s="148">
        <v>6</v>
      </c>
    </row>
    <row r="5" spans="1:35" ht="27" thickBot="1" x14ac:dyDescent="0.3">
      <c r="A5" s="149" t="s">
        <v>301</v>
      </c>
      <c r="B5" s="150" t="s">
        <v>302</v>
      </c>
      <c r="C5" s="151" t="s">
        <v>303</v>
      </c>
      <c r="D5" s="152" t="s">
        <v>304</v>
      </c>
      <c r="E5" s="178">
        <v>15</v>
      </c>
      <c r="F5" s="179">
        <v>159</v>
      </c>
      <c r="G5">
        <f>E5*F5/1000</f>
        <v>2.3849999999999998</v>
      </c>
      <c r="H5">
        <f>G5*2/1000</f>
        <v>4.7699999999999999E-3</v>
      </c>
      <c r="J5" s="149" t="s">
        <v>374</v>
      </c>
      <c r="K5" s="150" t="s">
        <v>301</v>
      </c>
      <c r="L5" s="151" t="s">
        <v>303</v>
      </c>
      <c r="M5" s="151" t="s">
        <v>375</v>
      </c>
      <c r="N5" s="150">
        <v>29</v>
      </c>
      <c r="O5" s="153">
        <v>108</v>
      </c>
      <c r="P5">
        <f>N5*O5/1000</f>
        <v>3.1320000000000001</v>
      </c>
      <c r="Q5">
        <f>P5*2/1000</f>
        <v>6.2640000000000005E-3</v>
      </c>
      <c r="S5" s="149" t="s">
        <v>383</v>
      </c>
      <c r="T5" s="150" t="s">
        <v>352</v>
      </c>
      <c r="U5" s="150" t="s">
        <v>384</v>
      </c>
      <c r="V5" s="151" t="s">
        <v>378</v>
      </c>
      <c r="W5" s="178">
        <v>50</v>
      </c>
      <c r="X5" s="180">
        <v>159</v>
      </c>
      <c r="Y5">
        <f>W5*X5/1000</f>
        <v>7.95</v>
      </c>
      <c r="Z5">
        <f>Y5*2/1000</f>
        <v>1.5900000000000001E-2</v>
      </c>
      <c r="AB5" s="159" t="s">
        <v>411</v>
      </c>
      <c r="AC5" s="151" t="s">
        <v>301</v>
      </c>
      <c r="AD5" s="151" t="s">
        <v>303</v>
      </c>
      <c r="AE5" s="151" t="s">
        <v>375</v>
      </c>
      <c r="AF5" s="180">
        <v>45</v>
      </c>
      <c r="AG5" s="180">
        <v>89</v>
      </c>
      <c r="AH5">
        <f>AF5*AG5/1000</f>
        <v>4.0049999999999999</v>
      </c>
      <c r="AI5">
        <f>AH5*2/1000</f>
        <v>8.0099999999999998E-3</v>
      </c>
    </row>
    <row r="6" spans="1:35" ht="27" thickBot="1" x14ac:dyDescent="0.3">
      <c r="A6" s="149" t="s">
        <v>305</v>
      </c>
      <c r="B6" s="150" t="s">
        <v>306</v>
      </c>
      <c r="C6" s="151" t="s">
        <v>303</v>
      </c>
      <c r="D6" s="152" t="s">
        <v>304</v>
      </c>
      <c r="E6" s="150">
        <v>12.6</v>
      </c>
      <c r="F6" s="153">
        <v>159</v>
      </c>
      <c r="G6">
        <f t="shared" ref="G6:G69" si="0">E6*F6/1000</f>
        <v>2.0034000000000001</v>
      </c>
      <c r="H6">
        <f t="shared" ref="H6:H69" si="1">G6*2/1000</f>
        <v>4.0068000000000005E-3</v>
      </c>
      <c r="J6" s="149" t="s">
        <v>376</v>
      </c>
      <c r="K6" s="150" t="s">
        <v>374</v>
      </c>
      <c r="L6" s="151" t="s">
        <v>303</v>
      </c>
      <c r="M6" s="151" t="s">
        <v>375</v>
      </c>
      <c r="N6" s="178">
        <v>108</v>
      </c>
      <c r="O6" s="179">
        <v>35</v>
      </c>
      <c r="P6">
        <f t="shared" ref="P6:P11" si="2">N6*O6/1000</f>
        <v>3.78</v>
      </c>
      <c r="Q6">
        <f t="shared" ref="Q6:Q11" si="3">P6*2/1000</f>
        <v>7.5599999999999999E-3</v>
      </c>
      <c r="S6" s="149" t="s">
        <v>352</v>
      </c>
      <c r="T6" s="150" t="s">
        <v>385</v>
      </c>
      <c r="U6" s="150" t="s">
        <v>384</v>
      </c>
      <c r="V6" s="151" t="s">
        <v>378</v>
      </c>
      <c r="W6" s="178">
        <v>17</v>
      </c>
      <c r="X6" s="180">
        <v>133</v>
      </c>
      <c r="Y6">
        <f t="shared" ref="Y6:Y43" si="4">W6*X6/1000</f>
        <v>2.2610000000000001</v>
      </c>
      <c r="Z6">
        <f t="shared" ref="Z6:Z43" si="5">Y6*2/1000</f>
        <v>4.522E-3</v>
      </c>
      <c r="AB6" s="159" t="s">
        <v>411</v>
      </c>
      <c r="AC6" s="151" t="s">
        <v>412</v>
      </c>
      <c r="AD6" s="151" t="s">
        <v>303</v>
      </c>
      <c r="AE6" s="151" t="s">
        <v>378</v>
      </c>
      <c r="AF6" s="151"/>
      <c r="AG6" s="151"/>
      <c r="AH6">
        <f t="shared" ref="AH6:AH10" si="6">AF6*AG6/1000</f>
        <v>0</v>
      </c>
      <c r="AI6">
        <f t="shared" ref="AI6:AI10" si="7">AH6*2/1000</f>
        <v>0</v>
      </c>
    </row>
    <row r="7" spans="1:35" ht="27" thickBot="1" x14ac:dyDescent="0.3">
      <c r="A7" s="149" t="s">
        <v>306</v>
      </c>
      <c r="B7" s="150" t="s">
        <v>307</v>
      </c>
      <c r="C7" s="151" t="s">
        <v>303</v>
      </c>
      <c r="D7" s="152" t="s">
        <v>304</v>
      </c>
      <c r="E7" s="150">
        <v>13.2</v>
      </c>
      <c r="F7" s="153">
        <v>159</v>
      </c>
      <c r="G7">
        <f t="shared" si="0"/>
        <v>2.0987999999999998</v>
      </c>
      <c r="H7">
        <f t="shared" si="1"/>
        <v>4.1975999999999992E-3</v>
      </c>
      <c r="J7" s="149" t="s">
        <v>301</v>
      </c>
      <c r="K7" s="150" t="s">
        <v>377</v>
      </c>
      <c r="L7" s="151" t="s">
        <v>353</v>
      </c>
      <c r="M7" s="151" t="s">
        <v>378</v>
      </c>
      <c r="N7" s="150">
        <v>66</v>
      </c>
      <c r="O7" s="153">
        <v>108</v>
      </c>
      <c r="P7">
        <f t="shared" si="2"/>
        <v>7.1280000000000001</v>
      </c>
      <c r="Q7">
        <f t="shared" si="3"/>
        <v>1.4256E-2</v>
      </c>
      <c r="S7" s="149" t="s">
        <v>385</v>
      </c>
      <c r="T7" s="150" t="s">
        <v>354</v>
      </c>
      <c r="U7" s="150" t="s">
        <v>384</v>
      </c>
      <c r="V7" s="151" t="s">
        <v>378</v>
      </c>
      <c r="W7" s="178">
        <v>22</v>
      </c>
      <c r="X7" s="180">
        <v>108</v>
      </c>
      <c r="Y7">
        <f t="shared" si="4"/>
        <v>2.3759999999999999</v>
      </c>
      <c r="Z7">
        <f t="shared" si="5"/>
        <v>4.7520000000000001E-3</v>
      </c>
      <c r="AB7" s="159" t="s">
        <v>301</v>
      </c>
      <c r="AC7" s="151" t="s">
        <v>302</v>
      </c>
      <c r="AD7" s="151" t="s">
        <v>303</v>
      </c>
      <c r="AE7" s="151" t="s">
        <v>378</v>
      </c>
      <c r="AF7" s="151">
        <v>11</v>
      </c>
      <c r="AG7" s="151">
        <v>133</v>
      </c>
      <c r="AH7">
        <f t="shared" si="6"/>
        <v>1.4630000000000001</v>
      </c>
      <c r="AI7">
        <f t="shared" si="7"/>
        <v>2.9260000000000002E-3</v>
      </c>
    </row>
    <row r="8" spans="1:35" ht="27" thickBot="1" x14ac:dyDescent="0.3">
      <c r="A8" s="149" t="s">
        <v>305</v>
      </c>
      <c r="B8" s="150" t="s">
        <v>308</v>
      </c>
      <c r="C8" s="151" t="s">
        <v>303</v>
      </c>
      <c r="D8" s="152" t="s">
        <v>304</v>
      </c>
      <c r="E8" s="150">
        <v>36</v>
      </c>
      <c r="F8" s="153">
        <v>159</v>
      </c>
      <c r="G8">
        <f t="shared" si="0"/>
        <v>5.7240000000000002</v>
      </c>
      <c r="H8">
        <f t="shared" si="1"/>
        <v>1.1448E-2</v>
      </c>
      <c r="J8" s="149" t="s">
        <v>301</v>
      </c>
      <c r="K8" s="150" t="s">
        <v>354</v>
      </c>
      <c r="L8" s="151" t="s">
        <v>353</v>
      </c>
      <c r="M8" s="151" t="s">
        <v>378</v>
      </c>
      <c r="N8" s="150"/>
      <c r="O8" s="153"/>
      <c r="P8">
        <f t="shared" si="2"/>
        <v>0</v>
      </c>
      <c r="Q8">
        <f t="shared" si="3"/>
        <v>0</v>
      </c>
      <c r="S8" s="149" t="s">
        <v>354</v>
      </c>
      <c r="T8" s="150" t="s">
        <v>386</v>
      </c>
      <c r="U8" s="150" t="s">
        <v>387</v>
      </c>
      <c r="V8" s="151" t="s">
        <v>378</v>
      </c>
      <c r="W8" s="150">
        <v>8.6</v>
      </c>
      <c r="X8" s="151">
        <v>159</v>
      </c>
      <c r="Y8">
        <f t="shared" si="4"/>
        <v>1.3673999999999999</v>
      </c>
      <c r="Z8">
        <f t="shared" si="5"/>
        <v>2.7347999999999999E-3</v>
      </c>
      <c r="AB8" s="159" t="s">
        <v>302</v>
      </c>
      <c r="AC8" s="151" t="s">
        <v>306</v>
      </c>
      <c r="AD8" s="151" t="s">
        <v>387</v>
      </c>
      <c r="AE8" s="151" t="s">
        <v>378</v>
      </c>
      <c r="AF8" s="151">
        <v>14.5</v>
      </c>
      <c r="AG8" s="151">
        <v>133</v>
      </c>
      <c r="AH8">
        <f t="shared" si="6"/>
        <v>1.9285000000000001</v>
      </c>
      <c r="AI8">
        <f t="shared" si="7"/>
        <v>3.8570000000000002E-3</v>
      </c>
    </row>
    <row r="9" spans="1:35" ht="27" thickBot="1" x14ac:dyDescent="0.3">
      <c r="A9" s="149" t="s">
        <v>309</v>
      </c>
      <c r="B9" s="150" t="s">
        <v>310</v>
      </c>
      <c r="C9" s="151" t="s">
        <v>303</v>
      </c>
      <c r="D9" s="152" t="s">
        <v>304</v>
      </c>
      <c r="E9" s="150">
        <v>45</v>
      </c>
      <c r="F9" s="153">
        <v>159</v>
      </c>
      <c r="G9">
        <f t="shared" si="0"/>
        <v>7.1550000000000002</v>
      </c>
      <c r="H9">
        <f t="shared" si="1"/>
        <v>1.431E-2</v>
      </c>
      <c r="J9" s="149" t="s">
        <v>354</v>
      </c>
      <c r="K9" s="150" t="s">
        <v>379</v>
      </c>
      <c r="L9" s="151" t="s">
        <v>353</v>
      </c>
      <c r="M9" s="151" t="s">
        <v>378</v>
      </c>
      <c r="N9" s="150"/>
      <c r="O9" s="153"/>
      <c r="P9">
        <f t="shared" si="2"/>
        <v>0</v>
      </c>
      <c r="Q9">
        <f t="shared" si="3"/>
        <v>0</v>
      </c>
      <c r="S9" s="149" t="s">
        <v>386</v>
      </c>
      <c r="T9" s="150" t="s">
        <v>388</v>
      </c>
      <c r="U9" s="150" t="s">
        <v>387</v>
      </c>
      <c r="V9" s="151" t="s">
        <v>378</v>
      </c>
      <c r="W9" s="150">
        <v>34</v>
      </c>
      <c r="X9" s="151">
        <v>57</v>
      </c>
      <c r="Y9">
        <f t="shared" si="4"/>
        <v>1.9379999999999999</v>
      </c>
      <c r="Z9">
        <f t="shared" si="5"/>
        <v>3.8760000000000001E-3</v>
      </c>
      <c r="AB9" s="159" t="s">
        <v>301</v>
      </c>
      <c r="AC9" s="151" t="s">
        <v>305</v>
      </c>
      <c r="AD9" s="151" t="s">
        <v>387</v>
      </c>
      <c r="AE9" s="151" t="s">
        <v>378</v>
      </c>
      <c r="AF9" s="151"/>
      <c r="AG9" s="151"/>
      <c r="AH9">
        <f t="shared" si="6"/>
        <v>0</v>
      </c>
      <c r="AI9">
        <f t="shared" si="7"/>
        <v>0</v>
      </c>
    </row>
    <row r="10" spans="1:35" ht="27" thickBot="1" x14ac:dyDescent="0.3">
      <c r="A10" s="149" t="s">
        <v>310</v>
      </c>
      <c r="B10" s="150" t="s">
        <v>311</v>
      </c>
      <c r="C10" s="151" t="s">
        <v>303</v>
      </c>
      <c r="D10" s="152" t="s">
        <v>304</v>
      </c>
      <c r="E10" s="150">
        <v>15</v>
      </c>
      <c r="F10" s="153">
        <v>159</v>
      </c>
      <c r="G10">
        <f t="shared" si="0"/>
        <v>2.3849999999999998</v>
      </c>
      <c r="H10">
        <f t="shared" si="1"/>
        <v>4.7699999999999999E-3</v>
      </c>
      <c r="J10" s="149" t="s">
        <v>379</v>
      </c>
      <c r="K10" s="150" t="s">
        <v>380</v>
      </c>
      <c r="L10" s="151" t="s">
        <v>353</v>
      </c>
      <c r="M10" s="151" t="s">
        <v>378</v>
      </c>
      <c r="N10" s="150"/>
      <c r="O10" s="153"/>
      <c r="P10">
        <f t="shared" si="2"/>
        <v>0</v>
      </c>
      <c r="Q10">
        <f t="shared" si="3"/>
        <v>0</v>
      </c>
      <c r="S10" s="149" t="s">
        <v>386</v>
      </c>
      <c r="T10" s="150" t="s">
        <v>389</v>
      </c>
      <c r="U10" s="150" t="s">
        <v>387</v>
      </c>
      <c r="V10" s="151" t="s">
        <v>378</v>
      </c>
      <c r="W10" s="150">
        <v>12</v>
      </c>
      <c r="X10" s="151">
        <v>159</v>
      </c>
      <c r="Y10">
        <f t="shared" si="4"/>
        <v>1.9079999999999999</v>
      </c>
      <c r="Z10">
        <f t="shared" si="5"/>
        <v>3.8159999999999999E-3</v>
      </c>
      <c r="AB10" s="159" t="s">
        <v>305</v>
      </c>
      <c r="AC10" s="151" t="s">
        <v>413</v>
      </c>
      <c r="AD10" s="151" t="s">
        <v>387</v>
      </c>
      <c r="AE10" s="151" t="s">
        <v>375</v>
      </c>
      <c r="AF10" s="151"/>
      <c r="AG10" s="151"/>
      <c r="AH10">
        <f t="shared" si="6"/>
        <v>0</v>
      </c>
      <c r="AI10">
        <f t="shared" si="7"/>
        <v>0</v>
      </c>
    </row>
    <row r="11" spans="1:35" ht="27" thickBot="1" x14ac:dyDescent="0.3">
      <c r="A11" s="149" t="s">
        <v>307</v>
      </c>
      <c r="B11" s="150" t="s">
        <v>312</v>
      </c>
      <c r="C11" s="151" t="s">
        <v>303</v>
      </c>
      <c r="D11" s="152" t="s">
        <v>304</v>
      </c>
      <c r="E11" s="150">
        <v>13.2</v>
      </c>
      <c r="F11" s="153">
        <v>159</v>
      </c>
      <c r="G11">
        <f t="shared" si="0"/>
        <v>2.0987999999999998</v>
      </c>
      <c r="H11">
        <f t="shared" si="1"/>
        <v>4.1975999999999992E-3</v>
      </c>
      <c r="J11" s="154" t="s">
        <v>354</v>
      </c>
      <c r="K11" s="155" t="s">
        <v>381</v>
      </c>
      <c r="L11" s="156" t="s">
        <v>353</v>
      </c>
      <c r="M11" s="156" t="s">
        <v>378</v>
      </c>
      <c r="N11" s="155"/>
      <c r="O11" s="156"/>
      <c r="P11">
        <f t="shared" si="2"/>
        <v>0</v>
      </c>
      <c r="Q11">
        <f t="shared" si="3"/>
        <v>0</v>
      </c>
      <c r="S11" s="149" t="s">
        <v>389</v>
      </c>
      <c r="T11" s="150" t="s">
        <v>390</v>
      </c>
      <c r="U11" s="150" t="s">
        <v>387</v>
      </c>
      <c r="V11" s="151" t="s">
        <v>378</v>
      </c>
      <c r="W11" s="150">
        <v>13</v>
      </c>
      <c r="X11" s="151">
        <v>89</v>
      </c>
      <c r="Y11">
        <f t="shared" si="4"/>
        <v>1.157</v>
      </c>
      <c r="Z11">
        <f t="shared" si="5"/>
        <v>2.3140000000000001E-3</v>
      </c>
      <c r="AB11" s="488" t="s">
        <v>372</v>
      </c>
      <c r="AC11" s="489"/>
      <c r="AD11" s="482"/>
      <c r="AE11" s="482"/>
      <c r="AF11" s="480">
        <v>350</v>
      </c>
      <c r="AG11" s="482"/>
      <c r="AH11">
        <f>SUM(AH5:AH10)</f>
        <v>7.3964999999999996</v>
      </c>
      <c r="AI11">
        <f>SUM(AI5:AI10)</f>
        <v>1.4793000000000001E-2</v>
      </c>
    </row>
    <row r="12" spans="1:35" ht="27" thickBot="1" x14ac:dyDescent="0.3">
      <c r="A12" s="149" t="s">
        <v>312</v>
      </c>
      <c r="B12" s="150" t="s">
        <v>313</v>
      </c>
      <c r="C12" s="151" t="s">
        <v>303</v>
      </c>
      <c r="D12" s="152" t="s">
        <v>304</v>
      </c>
      <c r="E12" s="150">
        <v>52.5</v>
      </c>
      <c r="F12" s="153">
        <v>159</v>
      </c>
      <c r="G12">
        <f t="shared" si="0"/>
        <v>8.3475000000000001</v>
      </c>
      <c r="H12">
        <f t="shared" si="1"/>
        <v>1.6695000000000002E-2</v>
      </c>
      <c r="J12" s="486" t="s">
        <v>372</v>
      </c>
      <c r="K12" s="487"/>
      <c r="L12" s="163"/>
      <c r="M12" s="163"/>
      <c r="N12" s="162">
        <v>293</v>
      </c>
      <c r="O12" s="163"/>
      <c r="P12">
        <f>SUM(P5:P11)</f>
        <v>14.04</v>
      </c>
      <c r="Q12">
        <f>SUM(Q5:Q11)</f>
        <v>2.8080000000000001E-2</v>
      </c>
      <c r="S12" s="149" t="s">
        <v>390</v>
      </c>
      <c r="T12" s="150" t="s">
        <v>391</v>
      </c>
      <c r="U12" s="150" t="s">
        <v>387</v>
      </c>
      <c r="V12" s="151" t="s">
        <v>378</v>
      </c>
      <c r="W12" s="150">
        <v>11</v>
      </c>
      <c r="X12" s="151">
        <v>57</v>
      </c>
      <c r="Y12">
        <f t="shared" si="4"/>
        <v>0.627</v>
      </c>
      <c r="Z12">
        <f t="shared" si="5"/>
        <v>1.2539999999999999E-3</v>
      </c>
      <c r="AB12" s="490"/>
      <c r="AC12" s="491"/>
      <c r="AD12" s="483"/>
      <c r="AE12" s="483"/>
      <c r="AF12" s="481"/>
      <c r="AG12" s="483"/>
    </row>
    <row r="13" spans="1:35" ht="27" thickBot="1" x14ac:dyDescent="0.3">
      <c r="A13" s="149" t="s">
        <v>313</v>
      </c>
      <c r="B13" s="150" t="s">
        <v>314</v>
      </c>
      <c r="C13" s="151" t="s">
        <v>303</v>
      </c>
      <c r="D13" s="152" t="s">
        <v>304</v>
      </c>
      <c r="E13" s="150">
        <v>11.4</v>
      </c>
      <c r="F13" s="153">
        <v>108</v>
      </c>
      <c r="G13">
        <f t="shared" si="0"/>
        <v>1.2312000000000001</v>
      </c>
      <c r="H13">
        <f t="shared" si="1"/>
        <v>2.4624E-3</v>
      </c>
      <c r="S13" s="149" t="s">
        <v>390</v>
      </c>
      <c r="T13" s="150" t="s">
        <v>392</v>
      </c>
      <c r="U13" s="150" t="s">
        <v>387</v>
      </c>
      <c r="V13" s="151" t="s">
        <v>378</v>
      </c>
      <c r="W13" s="150">
        <v>97.4</v>
      </c>
      <c r="X13" s="151">
        <v>76</v>
      </c>
      <c r="Y13">
        <f t="shared" si="4"/>
        <v>7.402400000000001</v>
      </c>
      <c r="Z13">
        <f t="shared" si="5"/>
        <v>1.4804800000000002E-2</v>
      </c>
    </row>
    <row r="14" spans="1:35" ht="27" thickBot="1" x14ac:dyDescent="0.3">
      <c r="A14" s="149" t="s">
        <v>314</v>
      </c>
      <c r="B14" s="150" t="s">
        <v>315</v>
      </c>
      <c r="C14" s="151" t="s">
        <v>303</v>
      </c>
      <c r="D14" s="152" t="s">
        <v>304</v>
      </c>
      <c r="E14" s="150">
        <v>40</v>
      </c>
      <c r="F14" s="153">
        <v>108</v>
      </c>
      <c r="G14">
        <f t="shared" si="0"/>
        <v>4.32</v>
      </c>
      <c r="H14">
        <f t="shared" si="1"/>
        <v>8.6400000000000001E-3</v>
      </c>
      <c r="S14" s="149" t="s">
        <v>354</v>
      </c>
      <c r="T14" s="150" t="s">
        <v>379</v>
      </c>
      <c r="U14" s="150" t="s">
        <v>387</v>
      </c>
      <c r="V14" s="151" t="s">
        <v>378</v>
      </c>
      <c r="W14" s="150">
        <v>27.5</v>
      </c>
      <c r="X14" s="151">
        <v>108</v>
      </c>
      <c r="Y14">
        <f t="shared" si="4"/>
        <v>2.97</v>
      </c>
      <c r="Z14">
        <f t="shared" si="5"/>
        <v>5.94E-3</v>
      </c>
    </row>
    <row r="15" spans="1:35" ht="27" thickBot="1" x14ac:dyDescent="0.3">
      <c r="A15" s="149" t="s">
        <v>316</v>
      </c>
      <c r="B15" s="150" t="s">
        <v>317</v>
      </c>
      <c r="C15" s="151" t="s">
        <v>303</v>
      </c>
      <c r="D15" s="152" t="s">
        <v>304</v>
      </c>
      <c r="E15" s="150">
        <v>34</v>
      </c>
      <c r="F15" s="153">
        <v>159</v>
      </c>
      <c r="G15">
        <f t="shared" si="0"/>
        <v>5.4059999999999997</v>
      </c>
      <c r="H15">
        <f t="shared" si="1"/>
        <v>1.0811999999999999E-2</v>
      </c>
      <c r="S15" s="149" t="s">
        <v>379</v>
      </c>
      <c r="T15" s="150" t="s">
        <v>393</v>
      </c>
      <c r="U15" s="150" t="s">
        <v>387</v>
      </c>
      <c r="V15" s="151" t="s">
        <v>378</v>
      </c>
      <c r="W15" s="150">
        <v>9</v>
      </c>
      <c r="X15" s="151">
        <v>57</v>
      </c>
      <c r="Y15">
        <f t="shared" si="4"/>
        <v>0.51300000000000001</v>
      </c>
      <c r="Z15">
        <f t="shared" si="5"/>
        <v>1.026E-3</v>
      </c>
    </row>
    <row r="16" spans="1:35" ht="27" thickBot="1" x14ac:dyDescent="0.3">
      <c r="A16" s="149" t="s">
        <v>310</v>
      </c>
      <c r="B16" s="150" t="s">
        <v>318</v>
      </c>
      <c r="C16" s="151" t="s">
        <v>303</v>
      </c>
      <c r="D16" s="152" t="s">
        <v>304</v>
      </c>
      <c r="E16" s="150">
        <v>22</v>
      </c>
      <c r="F16" s="153">
        <v>159</v>
      </c>
      <c r="G16">
        <f t="shared" si="0"/>
        <v>3.4980000000000002</v>
      </c>
      <c r="H16">
        <f t="shared" si="1"/>
        <v>6.9960000000000005E-3</v>
      </c>
      <c r="S16" s="149" t="s">
        <v>379</v>
      </c>
      <c r="T16" s="150" t="s">
        <v>332</v>
      </c>
      <c r="U16" s="150" t="s">
        <v>387</v>
      </c>
      <c r="V16" s="151" t="s">
        <v>378</v>
      </c>
      <c r="W16" s="150">
        <v>24.5</v>
      </c>
      <c r="X16" s="151">
        <v>108</v>
      </c>
      <c r="Y16">
        <f t="shared" si="4"/>
        <v>2.6459999999999999</v>
      </c>
      <c r="Z16">
        <f t="shared" si="5"/>
        <v>5.2919999999999998E-3</v>
      </c>
    </row>
    <row r="17" spans="1:26" ht="27" thickBot="1" x14ac:dyDescent="0.3">
      <c r="A17" s="149" t="s">
        <v>318</v>
      </c>
      <c r="B17" s="150" t="s">
        <v>319</v>
      </c>
      <c r="C17" s="151" t="s">
        <v>303</v>
      </c>
      <c r="D17" s="152" t="s">
        <v>304</v>
      </c>
      <c r="E17" s="150"/>
      <c r="F17" s="153"/>
      <c r="G17">
        <f t="shared" si="0"/>
        <v>0</v>
      </c>
      <c r="H17">
        <f t="shared" si="1"/>
        <v>0</v>
      </c>
      <c r="S17" s="149" t="s">
        <v>332</v>
      </c>
      <c r="T17" s="150" t="s">
        <v>342</v>
      </c>
      <c r="U17" s="150" t="s">
        <v>387</v>
      </c>
      <c r="V17" s="151" t="s">
        <v>378</v>
      </c>
      <c r="W17" s="150">
        <v>2</v>
      </c>
      <c r="X17" s="151">
        <v>108</v>
      </c>
      <c r="Y17">
        <f t="shared" si="4"/>
        <v>0.216</v>
      </c>
      <c r="Z17">
        <f t="shared" si="5"/>
        <v>4.3199999999999998E-4</v>
      </c>
    </row>
    <row r="18" spans="1:26" ht="27" thickBot="1" x14ac:dyDescent="0.3">
      <c r="A18" s="149" t="s">
        <v>318</v>
      </c>
      <c r="B18" s="150" t="s">
        <v>320</v>
      </c>
      <c r="C18" s="151" t="s">
        <v>303</v>
      </c>
      <c r="D18" s="152" t="s">
        <v>304</v>
      </c>
      <c r="E18" s="150">
        <v>40</v>
      </c>
      <c r="F18" s="153">
        <v>159</v>
      </c>
      <c r="G18">
        <f t="shared" si="0"/>
        <v>6.36</v>
      </c>
      <c r="H18">
        <f t="shared" si="1"/>
        <v>1.272E-2</v>
      </c>
      <c r="S18" s="149" t="s">
        <v>342</v>
      </c>
      <c r="T18" s="150" t="s">
        <v>394</v>
      </c>
      <c r="U18" s="150" t="s">
        <v>387</v>
      </c>
      <c r="V18" s="151" t="s">
        <v>378</v>
      </c>
      <c r="W18" s="150">
        <v>20</v>
      </c>
      <c r="X18" s="151">
        <v>76</v>
      </c>
      <c r="Y18">
        <f t="shared" si="4"/>
        <v>1.52</v>
      </c>
      <c r="Z18">
        <f t="shared" si="5"/>
        <v>3.0400000000000002E-3</v>
      </c>
    </row>
    <row r="19" spans="1:26" ht="27" thickBot="1" x14ac:dyDescent="0.3">
      <c r="A19" s="149" t="s">
        <v>321</v>
      </c>
      <c r="B19" s="150" t="s">
        <v>322</v>
      </c>
      <c r="C19" s="151" t="s">
        <v>303</v>
      </c>
      <c r="D19" s="152" t="s">
        <v>304</v>
      </c>
      <c r="E19" s="150">
        <v>21.6</v>
      </c>
      <c r="F19" s="153">
        <v>159</v>
      </c>
      <c r="G19">
        <f t="shared" si="0"/>
        <v>3.4344000000000001</v>
      </c>
      <c r="H19">
        <f t="shared" si="1"/>
        <v>6.8688000000000004E-3</v>
      </c>
      <c r="S19" s="149" t="s">
        <v>332</v>
      </c>
      <c r="T19" s="150" t="s">
        <v>360</v>
      </c>
      <c r="U19" s="150" t="s">
        <v>387</v>
      </c>
      <c r="V19" s="151" t="s">
        <v>378</v>
      </c>
      <c r="W19" s="150">
        <v>23.8</v>
      </c>
      <c r="X19" s="151">
        <v>76</v>
      </c>
      <c r="Y19">
        <f t="shared" si="4"/>
        <v>1.8088</v>
      </c>
      <c r="Z19">
        <f t="shared" si="5"/>
        <v>3.6175999999999999E-3</v>
      </c>
    </row>
    <row r="20" spans="1:26" ht="27" thickBot="1" x14ac:dyDescent="0.3">
      <c r="A20" s="149" t="s">
        <v>322</v>
      </c>
      <c r="B20" s="150" t="s">
        <v>323</v>
      </c>
      <c r="C20" s="151" t="s">
        <v>303</v>
      </c>
      <c r="D20" s="152" t="s">
        <v>304</v>
      </c>
      <c r="E20" s="150">
        <v>22.7</v>
      </c>
      <c r="F20" s="153">
        <v>76</v>
      </c>
      <c r="G20">
        <f t="shared" si="0"/>
        <v>1.7252000000000001</v>
      </c>
      <c r="H20">
        <f t="shared" si="1"/>
        <v>3.4504000000000002E-3</v>
      </c>
      <c r="S20" s="149" t="s">
        <v>360</v>
      </c>
      <c r="T20" s="150" t="s">
        <v>395</v>
      </c>
      <c r="U20" s="150" t="s">
        <v>387</v>
      </c>
      <c r="V20" s="151" t="s">
        <v>378</v>
      </c>
      <c r="W20" s="150">
        <v>20</v>
      </c>
      <c r="X20" s="151">
        <v>57</v>
      </c>
      <c r="Y20">
        <f t="shared" si="4"/>
        <v>1.1399999999999999</v>
      </c>
      <c r="Z20">
        <f t="shared" si="5"/>
        <v>2.2799999999999999E-3</v>
      </c>
    </row>
    <row r="21" spans="1:26" ht="27" thickBot="1" x14ac:dyDescent="0.3">
      <c r="A21" s="149" t="s">
        <v>323</v>
      </c>
      <c r="B21" s="150" t="s">
        <v>324</v>
      </c>
      <c r="C21" s="151" t="s">
        <v>303</v>
      </c>
      <c r="D21" s="152" t="s">
        <v>304</v>
      </c>
      <c r="E21" s="150"/>
      <c r="F21" s="153"/>
      <c r="G21">
        <f t="shared" si="0"/>
        <v>0</v>
      </c>
      <c r="H21">
        <f t="shared" si="1"/>
        <v>0</v>
      </c>
      <c r="S21" s="149" t="s">
        <v>360</v>
      </c>
      <c r="T21" s="150" t="s">
        <v>301</v>
      </c>
      <c r="U21" s="150" t="s">
        <v>387</v>
      </c>
      <c r="V21" s="151" t="s">
        <v>378</v>
      </c>
      <c r="W21" s="150">
        <v>37</v>
      </c>
      <c r="X21" s="151">
        <v>76</v>
      </c>
      <c r="Y21">
        <f t="shared" si="4"/>
        <v>2.8119999999999998</v>
      </c>
      <c r="Z21">
        <f t="shared" si="5"/>
        <v>5.6239999999999997E-3</v>
      </c>
    </row>
    <row r="22" spans="1:26" ht="27" thickBot="1" x14ac:dyDescent="0.3">
      <c r="A22" s="149" t="s">
        <v>323</v>
      </c>
      <c r="B22" s="150" t="s">
        <v>325</v>
      </c>
      <c r="C22" s="151" t="s">
        <v>303</v>
      </c>
      <c r="D22" s="152" t="s">
        <v>304</v>
      </c>
      <c r="E22" s="150">
        <v>30</v>
      </c>
      <c r="F22" s="153">
        <v>76</v>
      </c>
      <c r="G22">
        <f t="shared" si="0"/>
        <v>2.2799999999999998</v>
      </c>
      <c r="H22">
        <f t="shared" si="1"/>
        <v>4.5599999999999998E-3</v>
      </c>
      <c r="S22" s="149" t="s">
        <v>302</v>
      </c>
      <c r="T22" s="150" t="s">
        <v>396</v>
      </c>
      <c r="U22" s="150" t="s">
        <v>387</v>
      </c>
      <c r="V22" s="151" t="s">
        <v>378</v>
      </c>
      <c r="W22" s="150">
        <v>2</v>
      </c>
      <c r="X22" s="151">
        <v>76</v>
      </c>
      <c r="Y22">
        <f t="shared" si="4"/>
        <v>0.152</v>
      </c>
      <c r="Z22">
        <f t="shared" si="5"/>
        <v>3.0400000000000002E-4</v>
      </c>
    </row>
    <row r="23" spans="1:26" ht="27" thickBot="1" x14ac:dyDescent="0.3">
      <c r="A23" s="149" t="s">
        <v>322</v>
      </c>
      <c r="B23" s="150" t="s">
        <v>326</v>
      </c>
      <c r="C23" s="151" t="s">
        <v>303</v>
      </c>
      <c r="D23" s="152" t="s">
        <v>304</v>
      </c>
      <c r="E23" s="150">
        <v>20.3</v>
      </c>
      <c r="F23" s="153">
        <v>159</v>
      </c>
      <c r="G23">
        <f t="shared" si="0"/>
        <v>3.2277000000000005</v>
      </c>
      <c r="H23">
        <f t="shared" si="1"/>
        <v>6.4554000000000009E-3</v>
      </c>
      <c r="S23" s="149" t="s">
        <v>396</v>
      </c>
      <c r="T23" s="150" t="s">
        <v>397</v>
      </c>
      <c r="U23" s="150" t="s">
        <v>387</v>
      </c>
      <c r="V23" s="151" t="s">
        <v>378</v>
      </c>
      <c r="W23" s="150">
        <v>7</v>
      </c>
      <c r="X23" s="151">
        <v>45</v>
      </c>
      <c r="Y23">
        <f t="shared" si="4"/>
        <v>0.315</v>
      </c>
      <c r="Z23">
        <f t="shared" si="5"/>
        <v>6.3000000000000003E-4</v>
      </c>
    </row>
    <row r="24" spans="1:26" ht="27" thickBot="1" x14ac:dyDescent="0.3">
      <c r="A24" s="149" t="s">
        <v>326</v>
      </c>
      <c r="B24" s="150" t="s">
        <v>327</v>
      </c>
      <c r="C24" s="151" t="s">
        <v>303</v>
      </c>
      <c r="D24" s="152" t="s">
        <v>304</v>
      </c>
      <c r="E24" s="150">
        <v>7.4</v>
      </c>
      <c r="F24" s="153">
        <v>159</v>
      </c>
      <c r="G24">
        <f t="shared" si="0"/>
        <v>1.1766000000000001</v>
      </c>
      <c r="H24">
        <f t="shared" si="1"/>
        <v>2.3532000000000002E-3</v>
      </c>
      <c r="S24" s="149" t="s">
        <v>396</v>
      </c>
      <c r="T24" s="150" t="s">
        <v>305</v>
      </c>
      <c r="U24" s="150" t="s">
        <v>387</v>
      </c>
      <c r="V24" s="151" t="s">
        <v>378</v>
      </c>
      <c r="W24" s="150">
        <v>27</v>
      </c>
      <c r="X24" s="151">
        <v>76</v>
      </c>
      <c r="Y24">
        <f t="shared" si="4"/>
        <v>2.052</v>
      </c>
      <c r="Z24">
        <f t="shared" si="5"/>
        <v>4.104E-3</v>
      </c>
    </row>
    <row r="25" spans="1:26" ht="27" thickBot="1" x14ac:dyDescent="0.3">
      <c r="A25" s="149" t="s">
        <v>327</v>
      </c>
      <c r="B25" s="150" t="s">
        <v>328</v>
      </c>
      <c r="C25" s="151" t="s">
        <v>303</v>
      </c>
      <c r="D25" s="152" t="s">
        <v>304</v>
      </c>
      <c r="E25" s="150">
        <v>11</v>
      </c>
      <c r="F25" s="153">
        <v>159</v>
      </c>
      <c r="G25">
        <f t="shared" si="0"/>
        <v>1.7490000000000001</v>
      </c>
      <c r="H25">
        <f t="shared" si="1"/>
        <v>3.4980000000000002E-3</v>
      </c>
      <c r="S25" s="149" t="s">
        <v>389</v>
      </c>
      <c r="T25" s="150" t="s">
        <v>306</v>
      </c>
      <c r="U25" s="150" t="s">
        <v>387</v>
      </c>
      <c r="V25" s="151" t="s">
        <v>378</v>
      </c>
      <c r="W25" s="150">
        <v>2</v>
      </c>
      <c r="X25" s="151">
        <v>159</v>
      </c>
      <c r="Y25">
        <f t="shared" si="4"/>
        <v>0.318</v>
      </c>
      <c r="Z25">
        <f t="shared" si="5"/>
        <v>6.3600000000000006E-4</v>
      </c>
    </row>
    <row r="26" spans="1:26" ht="27" thickBot="1" x14ac:dyDescent="0.3">
      <c r="A26" s="149" t="s">
        <v>328</v>
      </c>
      <c r="B26" s="150" t="s">
        <v>329</v>
      </c>
      <c r="C26" s="151" t="s">
        <v>303</v>
      </c>
      <c r="D26" s="152" t="s">
        <v>304</v>
      </c>
      <c r="E26" s="150">
        <v>8.5</v>
      </c>
      <c r="F26" s="153">
        <v>76</v>
      </c>
      <c r="G26">
        <f t="shared" si="0"/>
        <v>0.64600000000000002</v>
      </c>
      <c r="H26">
        <f t="shared" si="1"/>
        <v>1.292E-3</v>
      </c>
      <c r="S26" s="149" t="s">
        <v>307</v>
      </c>
      <c r="T26" s="150" t="s">
        <v>398</v>
      </c>
      <c r="U26" s="150" t="s">
        <v>387</v>
      </c>
      <c r="V26" s="151" t="s">
        <v>378</v>
      </c>
      <c r="W26" s="150">
        <v>17</v>
      </c>
      <c r="X26" s="151">
        <v>159</v>
      </c>
      <c r="Y26">
        <f t="shared" si="4"/>
        <v>2.7029999999999998</v>
      </c>
      <c r="Z26">
        <f t="shared" si="5"/>
        <v>5.4059999999999993E-3</v>
      </c>
    </row>
    <row r="27" spans="1:26" ht="27" thickBot="1" x14ac:dyDescent="0.3">
      <c r="A27" s="149" t="s">
        <v>328</v>
      </c>
      <c r="B27" s="150" t="s">
        <v>330</v>
      </c>
      <c r="C27" s="151" t="s">
        <v>303</v>
      </c>
      <c r="D27" s="152" t="s">
        <v>304</v>
      </c>
      <c r="E27" s="150">
        <v>3</v>
      </c>
      <c r="F27" s="153">
        <v>159</v>
      </c>
      <c r="G27">
        <f t="shared" si="0"/>
        <v>0.47699999999999998</v>
      </c>
      <c r="H27">
        <f t="shared" si="1"/>
        <v>9.5399999999999999E-4</v>
      </c>
      <c r="S27" s="149" t="s">
        <v>368</v>
      </c>
      <c r="T27" s="150" t="s">
        <v>399</v>
      </c>
      <c r="U27" s="150" t="s">
        <v>387</v>
      </c>
      <c r="V27" s="151" t="s">
        <v>378</v>
      </c>
      <c r="W27" s="150">
        <v>14.7</v>
      </c>
      <c r="X27" s="151">
        <v>108</v>
      </c>
      <c r="Y27">
        <f t="shared" si="4"/>
        <v>1.5875999999999999</v>
      </c>
      <c r="Z27">
        <f t="shared" si="5"/>
        <v>3.1752E-3</v>
      </c>
    </row>
    <row r="28" spans="1:26" ht="27" thickBot="1" x14ac:dyDescent="0.3">
      <c r="A28" s="149" t="s">
        <v>330</v>
      </c>
      <c r="B28" s="150" t="s">
        <v>331</v>
      </c>
      <c r="C28" s="151" t="s">
        <v>303</v>
      </c>
      <c r="D28" s="152" t="s">
        <v>304</v>
      </c>
      <c r="E28" s="150">
        <v>9.1999999999999993</v>
      </c>
      <c r="F28" s="153">
        <v>159</v>
      </c>
      <c r="G28">
        <f t="shared" si="0"/>
        <v>1.4627999999999999</v>
      </c>
      <c r="H28">
        <f t="shared" si="1"/>
        <v>2.9255999999999996E-3</v>
      </c>
      <c r="S28" s="149" t="s">
        <v>399</v>
      </c>
      <c r="T28" s="150" t="s">
        <v>400</v>
      </c>
      <c r="U28" s="150" t="s">
        <v>387</v>
      </c>
      <c r="V28" s="151" t="s">
        <v>378</v>
      </c>
      <c r="W28" s="150">
        <v>12.5</v>
      </c>
      <c r="X28" s="151">
        <v>76</v>
      </c>
      <c r="Y28">
        <f t="shared" si="4"/>
        <v>0.95</v>
      </c>
      <c r="Z28">
        <f t="shared" si="5"/>
        <v>1.9E-3</v>
      </c>
    </row>
    <row r="29" spans="1:26" ht="27" thickBot="1" x14ac:dyDescent="0.3">
      <c r="A29" s="149" t="s">
        <v>332</v>
      </c>
      <c r="B29" s="150" t="s">
        <v>333</v>
      </c>
      <c r="C29" s="151" t="s">
        <v>303</v>
      </c>
      <c r="D29" s="152" t="s">
        <v>304</v>
      </c>
      <c r="E29" s="150">
        <v>17</v>
      </c>
      <c r="F29" s="153">
        <v>57</v>
      </c>
      <c r="G29">
        <f t="shared" si="0"/>
        <v>0.96899999999999997</v>
      </c>
      <c r="H29">
        <f t="shared" si="1"/>
        <v>1.9380000000000001E-3</v>
      </c>
      <c r="S29" s="149" t="s">
        <v>399</v>
      </c>
      <c r="T29" s="150" t="s">
        <v>313</v>
      </c>
      <c r="U29" s="150" t="s">
        <v>387</v>
      </c>
      <c r="V29" s="151" t="s">
        <v>378</v>
      </c>
      <c r="W29" s="150">
        <v>18.5</v>
      </c>
      <c r="X29" s="151">
        <v>57</v>
      </c>
      <c r="Y29">
        <f t="shared" si="4"/>
        <v>1.0545</v>
      </c>
      <c r="Z29">
        <f t="shared" si="5"/>
        <v>2.1090000000000002E-3</v>
      </c>
    </row>
    <row r="30" spans="1:26" ht="27" thickBot="1" x14ac:dyDescent="0.3">
      <c r="A30" s="149" t="s">
        <v>333</v>
      </c>
      <c r="B30" s="150" t="s">
        <v>334</v>
      </c>
      <c r="C30" s="151" t="s">
        <v>303</v>
      </c>
      <c r="D30" s="152" t="s">
        <v>304</v>
      </c>
      <c r="E30" s="150">
        <v>10.3</v>
      </c>
      <c r="F30" s="153">
        <v>40</v>
      </c>
      <c r="G30">
        <f t="shared" si="0"/>
        <v>0.41199999999999998</v>
      </c>
      <c r="H30">
        <f t="shared" si="1"/>
        <v>8.2399999999999997E-4</v>
      </c>
      <c r="S30" s="149" t="s">
        <v>314</v>
      </c>
      <c r="T30" s="150" t="s">
        <v>401</v>
      </c>
      <c r="U30" s="150" t="s">
        <v>387</v>
      </c>
      <c r="V30" s="151" t="s">
        <v>378</v>
      </c>
      <c r="W30" s="150">
        <v>5</v>
      </c>
      <c r="X30" s="153">
        <v>57</v>
      </c>
      <c r="Y30">
        <f t="shared" si="4"/>
        <v>0.28499999999999998</v>
      </c>
      <c r="Z30">
        <f t="shared" si="5"/>
        <v>5.6999999999999998E-4</v>
      </c>
    </row>
    <row r="31" spans="1:26" ht="27" thickBot="1" x14ac:dyDescent="0.3">
      <c r="A31" s="149" t="s">
        <v>333</v>
      </c>
      <c r="B31" s="150" t="s">
        <v>335</v>
      </c>
      <c r="C31" s="151" t="s">
        <v>303</v>
      </c>
      <c r="D31" s="152" t="s">
        <v>304</v>
      </c>
      <c r="E31" s="150">
        <v>0.1</v>
      </c>
      <c r="F31" s="153">
        <v>57</v>
      </c>
      <c r="G31">
        <f t="shared" si="0"/>
        <v>5.7000000000000002E-3</v>
      </c>
      <c r="H31">
        <f t="shared" si="1"/>
        <v>1.1400000000000001E-5</v>
      </c>
      <c r="S31" s="149" t="s">
        <v>368</v>
      </c>
      <c r="T31" s="150" t="s">
        <v>402</v>
      </c>
      <c r="U31" s="150" t="s">
        <v>387</v>
      </c>
      <c r="V31" s="151" t="s">
        <v>378</v>
      </c>
      <c r="W31" s="150">
        <v>72.5</v>
      </c>
      <c r="X31" s="153">
        <v>89</v>
      </c>
      <c r="Y31">
        <f t="shared" si="4"/>
        <v>6.4524999999999997</v>
      </c>
      <c r="Z31">
        <f t="shared" si="5"/>
        <v>1.2905E-2</v>
      </c>
    </row>
    <row r="32" spans="1:26" ht="27" thickBot="1" x14ac:dyDescent="0.3">
      <c r="A32" s="149" t="s">
        <v>335</v>
      </c>
      <c r="B32" s="150" t="s">
        <v>336</v>
      </c>
      <c r="C32" s="151" t="s">
        <v>303</v>
      </c>
      <c r="D32" s="152" t="s">
        <v>304</v>
      </c>
      <c r="E32" s="150">
        <v>5</v>
      </c>
      <c r="F32" s="153">
        <v>76</v>
      </c>
      <c r="G32">
        <f t="shared" si="0"/>
        <v>0.38</v>
      </c>
      <c r="H32">
        <f t="shared" si="1"/>
        <v>7.6000000000000004E-4</v>
      </c>
      <c r="S32" s="164" t="s">
        <v>315</v>
      </c>
      <c r="T32" s="165" t="s">
        <v>403</v>
      </c>
      <c r="U32" s="150" t="s">
        <v>387</v>
      </c>
      <c r="V32" s="151" t="s">
        <v>378</v>
      </c>
      <c r="W32" s="165"/>
      <c r="X32" s="166"/>
      <c r="Y32">
        <f t="shared" si="4"/>
        <v>0</v>
      </c>
      <c r="Z32">
        <f t="shared" si="5"/>
        <v>0</v>
      </c>
    </row>
    <row r="33" spans="1:26" ht="27" thickBot="1" x14ac:dyDescent="0.3">
      <c r="A33" s="149" t="s">
        <v>335</v>
      </c>
      <c r="B33" s="150" t="s">
        <v>337</v>
      </c>
      <c r="C33" s="151" t="s">
        <v>303</v>
      </c>
      <c r="D33" s="152" t="s">
        <v>304</v>
      </c>
      <c r="E33" s="150">
        <v>20</v>
      </c>
      <c r="F33" s="153">
        <v>57</v>
      </c>
      <c r="G33">
        <f t="shared" si="0"/>
        <v>1.1399999999999999</v>
      </c>
      <c r="H33">
        <f t="shared" si="1"/>
        <v>2.2799999999999999E-3</v>
      </c>
      <c r="S33" s="149" t="s">
        <v>403</v>
      </c>
      <c r="T33" s="150" t="s">
        <v>404</v>
      </c>
      <c r="U33" s="150" t="s">
        <v>387</v>
      </c>
      <c r="V33" s="151" t="s">
        <v>378</v>
      </c>
      <c r="W33" s="150">
        <v>12</v>
      </c>
      <c r="X33" s="151">
        <v>108</v>
      </c>
      <c r="Y33">
        <f t="shared" si="4"/>
        <v>1.296</v>
      </c>
      <c r="Z33">
        <f t="shared" si="5"/>
        <v>2.5920000000000001E-3</v>
      </c>
    </row>
    <row r="34" spans="1:26" ht="27" thickBot="1" x14ac:dyDescent="0.3">
      <c r="A34" s="149" t="s">
        <v>337</v>
      </c>
      <c r="B34" s="150" t="s">
        <v>338</v>
      </c>
      <c r="C34" s="151" t="s">
        <v>303</v>
      </c>
      <c r="D34" s="152" t="s">
        <v>304</v>
      </c>
      <c r="E34" s="150">
        <v>3</v>
      </c>
      <c r="F34" s="153">
        <v>45</v>
      </c>
      <c r="G34">
        <f t="shared" si="0"/>
        <v>0.13500000000000001</v>
      </c>
      <c r="H34">
        <f t="shared" si="1"/>
        <v>2.7E-4</v>
      </c>
      <c r="S34" s="149" t="s">
        <v>404</v>
      </c>
      <c r="T34" s="150" t="s">
        <v>405</v>
      </c>
      <c r="U34" s="150" t="s">
        <v>387</v>
      </c>
      <c r="V34" s="151" t="s">
        <v>378</v>
      </c>
      <c r="W34" s="150">
        <v>6.1</v>
      </c>
      <c r="X34" s="151">
        <v>89</v>
      </c>
      <c r="Y34">
        <f t="shared" si="4"/>
        <v>0.54289999999999994</v>
      </c>
      <c r="Z34">
        <f t="shared" si="5"/>
        <v>1.0857999999999998E-3</v>
      </c>
    </row>
    <row r="35" spans="1:26" ht="27" thickBot="1" x14ac:dyDescent="0.3">
      <c r="A35" s="149" t="s">
        <v>337</v>
      </c>
      <c r="B35" s="150" t="s">
        <v>339</v>
      </c>
      <c r="C35" s="151" t="s">
        <v>303</v>
      </c>
      <c r="D35" s="152" t="s">
        <v>304</v>
      </c>
      <c r="E35" s="150">
        <v>36</v>
      </c>
      <c r="F35" s="153">
        <v>57</v>
      </c>
      <c r="G35">
        <f t="shared" si="0"/>
        <v>2.052</v>
      </c>
      <c r="H35">
        <f t="shared" si="1"/>
        <v>4.104E-3</v>
      </c>
      <c r="S35" s="149" t="s">
        <v>404</v>
      </c>
      <c r="T35" s="150" t="s">
        <v>406</v>
      </c>
      <c r="U35" s="150" t="s">
        <v>387</v>
      </c>
      <c r="V35" s="151" t="s">
        <v>378</v>
      </c>
      <c r="W35" s="150">
        <v>27</v>
      </c>
      <c r="X35" s="151">
        <v>108</v>
      </c>
      <c r="Y35">
        <f t="shared" si="4"/>
        <v>2.9159999999999999</v>
      </c>
      <c r="Z35">
        <f t="shared" si="5"/>
        <v>5.8319999999999995E-3</v>
      </c>
    </row>
    <row r="36" spans="1:26" ht="27" thickBot="1" x14ac:dyDescent="0.3">
      <c r="A36" s="149" t="s">
        <v>340</v>
      </c>
      <c r="B36" s="150" t="s">
        <v>341</v>
      </c>
      <c r="C36" s="151" t="s">
        <v>303</v>
      </c>
      <c r="D36" s="152" t="s">
        <v>304</v>
      </c>
      <c r="E36" s="150">
        <v>35</v>
      </c>
      <c r="F36" s="153">
        <v>57</v>
      </c>
      <c r="G36">
        <f t="shared" si="0"/>
        <v>1.9950000000000001</v>
      </c>
      <c r="H36">
        <f t="shared" si="1"/>
        <v>3.9900000000000005E-3</v>
      </c>
      <c r="S36" s="149" t="s">
        <v>406</v>
      </c>
      <c r="T36" s="150" t="s">
        <v>407</v>
      </c>
      <c r="U36" s="150" t="s">
        <v>387</v>
      </c>
      <c r="V36" s="151" t="s">
        <v>378</v>
      </c>
      <c r="W36" s="150">
        <v>13.5</v>
      </c>
      <c r="X36" s="151">
        <v>108</v>
      </c>
      <c r="Y36">
        <f t="shared" si="4"/>
        <v>1.458</v>
      </c>
      <c r="Z36">
        <f t="shared" si="5"/>
        <v>2.9159999999999998E-3</v>
      </c>
    </row>
    <row r="37" spans="1:26" ht="27" thickBot="1" x14ac:dyDescent="0.3">
      <c r="A37" s="149" t="s">
        <v>342</v>
      </c>
      <c r="B37" s="150" t="s">
        <v>343</v>
      </c>
      <c r="C37" s="151" t="s">
        <v>303</v>
      </c>
      <c r="D37" s="152" t="s">
        <v>304</v>
      </c>
      <c r="E37" s="150">
        <v>14.7</v>
      </c>
      <c r="F37" s="153">
        <v>57</v>
      </c>
      <c r="G37">
        <f t="shared" si="0"/>
        <v>0.83789999999999998</v>
      </c>
      <c r="H37">
        <f t="shared" si="1"/>
        <v>1.6757999999999999E-3</v>
      </c>
      <c r="S37" s="154" t="s">
        <v>406</v>
      </c>
      <c r="T37" s="155" t="s">
        <v>408</v>
      </c>
      <c r="U37" s="155" t="s">
        <v>387</v>
      </c>
      <c r="V37" s="156" t="s">
        <v>378</v>
      </c>
      <c r="W37" s="155">
        <v>16.3</v>
      </c>
      <c r="X37" s="156">
        <v>89</v>
      </c>
      <c r="Y37">
        <f t="shared" si="4"/>
        <v>1.4507000000000001</v>
      </c>
      <c r="Z37">
        <f t="shared" si="5"/>
        <v>2.9014000000000002E-3</v>
      </c>
    </row>
    <row r="38" spans="1:26" ht="15.75" thickBot="1" x14ac:dyDescent="0.3">
      <c r="A38" s="149" t="s">
        <v>343</v>
      </c>
      <c r="B38" s="150" t="s">
        <v>344</v>
      </c>
      <c r="C38" s="151" t="s">
        <v>303</v>
      </c>
      <c r="D38" s="152" t="s">
        <v>304</v>
      </c>
      <c r="E38" s="150">
        <v>6.2</v>
      </c>
      <c r="F38" s="153">
        <v>57</v>
      </c>
      <c r="G38">
        <f t="shared" si="0"/>
        <v>0.35340000000000005</v>
      </c>
      <c r="H38">
        <f t="shared" si="1"/>
        <v>7.0680000000000005E-4</v>
      </c>
      <c r="S38" s="167" t="s">
        <v>301</v>
      </c>
      <c r="T38" s="168" t="s">
        <v>302</v>
      </c>
      <c r="U38" s="158" t="s">
        <v>409</v>
      </c>
      <c r="V38" s="158" t="s">
        <v>375</v>
      </c>
      <c r="W38" s="168">
        <v>71.599999999999994</v>
      </c>
      <c r="X38" s="158">
        <v>76</v>
      </c>
      <c r="Y38">
        <f t="shared" si="4"/>
        <v>5.4415999999999993</v>
      </c>
      <c r="Z38">
        <f t="shared" si="5"/>
        <v>1.0883199999999999E-2</v>
      </c>
    </row>
    <row r="39" spans="1:26" ht="27" thickBot="1" x14ac:dyDescent="0.3">
      <c r="A39" s="154" t="s">
        <v>344</v>
      </c>
      <c r="B39" s="155" t="s">
        <v>345</v>
      </c>
      <c r="C39" s="151" t="s">
        <v>303</v>
      </c>
      <c r="D39" s="152" t="s">
        <v>304</v>
      </c>
      <c r="E39" s="155">
        <v>38</v>
      </c>
      <c r="F39" s="156">
        <v>57</v>
      </c>
      <c r="G39">
        <f t="shared" si="0"/>
        <v>2.1659999999999999</v>
      </c>
      <c r="H39">
        <f t="shared" si="1"/>
        <v>4.3319999999999999E-3</v>
      </c>
      <c r="S39" s="149" t="s">
        <v>305</v>
      </c>
      <c r="T39" s="150" t="s">
        <v>410</v>
      </c>
      <c r="U39" s="151" t="s">
        <v>409</v>
      </c>
      <c r="V39" s="151" t="s">
        <v>375</v>
      </c>
      <c r="W39" s="150">
        <v>26</v>
      </c>
      <c r="X39" s="151">
        <v>76</v>
      </c>
      <c r="Y39">
        <f t="shared" si="4"/>
        <v>1.976</v>
      </c>
      <c r="Z39">
        <f t="shared" si="5"/>
        <v>3.9519999999999998E-3</v>
      </c>
    </row>
    <row r="40" spans="1:26" ht="15.75" thickBot="1" x14ac:dyDescent="0.3">
      <c r="A40" s="157" t="s">
        <v>346</v>
      </c>
      <c r="B40" s="158" t="s">
        <v>347</v>
      </c>
      <c r="C40" s="151" t="s">
        <v>303</v>
      </c>
      <c r="D40" s="152" t="s">
        <v>304</v>
      </c>
      <c r="E40" s="158"/>
      <c r="F40" s="158"/>
      <c r="G40">
        <f t="shared" si="0"/>
        <v>0</v>
      </c>
      <c r="H40">
        <f t="shared" si="1"/>
        <v>0</v>
      </c>
      <c r="S40" s="149" t="s">
        <v>306</v>
      </c>
      <c r="T40" s="150" t="s">
        <v>307</v>
      </c>
      <c r="U40" s="151" t="s">
        <v>409</v>
      </c>
      <c r="V40" s="151" t="s">
        <v>375</v>
      </c>
      <c r="W40" s="150">
        <v>54.8</v>
      </c>
      <c r="X40" s="151">
        <v>159</v>
      </c>
      <c r="Y40">
        <f t="shared" si="4"/>
        <v>8.7131999999999987</v>
      </c>
      <c r="Z40">
        <f t="shared" si="5"/>
        <v>1.7426399999999998E-2</v>
      </c>
    </row>
    <row r="41" spans="1:26" ht="15.75" thickBot="1" x14ac:dyDescent="0.3">
      <c r="A41" s="159" t="s">
        <v>348</v>
      </c>
      <c r="B41" s="151" t="s">
        <v>349</v>
      </c>
      <c r="C41" s="151" t="s">
        <v>303</v>
      </c>
      <c r="D41" s="152" t="s">
        <v>304</v>
      </c>
      <c r="E41" s="151">
        <v>27</v>
      </c>
      <c r="F41" s="151">
        <v>57</v>
      </c>
      <c r="G41">
        <f t="shared" si="0"/>
        <v>1.5389999999999999</v>
      </c>
      <c r="H41">
        <f t="shared" si="1"/>
        <v>3.078E-3</v>
      </c>
      <c r="S41" s="149" t="s">
        <v>398</v>
      </c>
      <c r="T41" s="150" t="s">
        <v>368</v>
      </c>
      <c r="U41" s="151" t="s">
        <v>409</v>
      </c>
      <c r="V41" s="151" t="s">
        <v>375</v>
      </c>
      <c r="W41" s="150">
        <v>6</v>
      </c>
      <c r="X41" s="151">
        <v>159</v>
      </c>
      <c r="Y41">
        <f t="shared" si="4"/>
        <v>0.95399999999999996</v>
      </c>
      <c r="Z41">
        <f t="shared" si="5"/>
        <v>1.908E-3</v>
      </c>
    </row>
    <row r="42" spans="1:26" ht="15.75" thickBot="1" x14ac:dyDescent="0.3">
      <c r="A42" s="159" t="s">
        <v>350</v>
      </c>
      <c r="B42" s="151" t="s">
        <v>351</v>
      </c>
      <c r="C42" s="151" t="s">
        <v>303</v>
      </c>
      <c r="D42" s="152" t="s">
        <v>304</v>
      </c>
      <c r="E42" s="151">
        <v>21.4</v>
      </c>
      <c r="F42" s="151">
        <v>57</v>
      </c>
      <c r="G42">
        <f t="shared" si="0"/>
        <v>1.2198</v>
      </c>
      <c r="H42">
        <f t="shared" si="1"/>
        <v>2.4396000000000001E-3</v>
      </c>
      <c r="S42" s="149" t="s">
        <v>313</v>
      </c>
      <c r="T42" s="150" t="s">
        <v>314</v>
      </c>
      <c r="U42" s="151" t="s">
        <v>409</v>
      </c>
      <c r="V42" s="151" t="s">
        <v>375</v>
      </c>
      <c r="W42" s="150">
        <v>16.5</v>
      </c>
      <c r="X42" s="151">
        <v>57</v>
      </c>
      <c r="Y42">
        <f t="shared" si="4"/>
        <v>0.9405</v>
      </c>
      <c r="Z42">
        <f t="shared" si="5"/>
        <v>1.8810000000000001E-3</v>
      </c>
    </row>
    <row r="43" spans="1:26" ht="27" thickBot="1" x14ac:dyDescent="0.3">
      <c r="A43" s="149" t="s">
        <v>302</v>
      </c>
      <c r="B43" s="150" t="s">
        <v>352</v>
      </c>
      <c r="C43" s="151" t="s">
        <v>353</v>
      </c>
      <c r="D43" s="152" t="s">
        <v>304</v>
      </c>
      <c r="E43" s="150"/>
      <c r="F43" s="153"/>
      <c r="G43">
        <f t="shared" si="0"/>
        <v>0</v>
      </c>
      <c r="H43">
        <f t="shared" si="1"/>
        <v>0</v>
      </c>
      <c r="S43" s="154" t="s">
        <v>368</v>
      </c>
      <c r="T43" s="155" t="s">
        <v>315</v>
      </c>
      <c r="U43" s="156" t="s">
        <v>409</v>
      </c>
      <c r="V43" s="156" t="s">
        <v>375</v>
      </c>
      <c r="W43" s="155">
        <v>57.5</v>
      </c>
      <c r="X43" s="156">
        <v>159</v>
      </c>
      <c r="Y43">
        <f t="shared" si="4"/>
        <v>9.1425000000000001</v>
      </c>
      <c r="Z43">
        <f t="shared" si="5"/>
        <v>1.8284999999999999E-2</v>
      </c>
    </row>
    <row r="44" spans="1:26" ht="27" thickBot="1" x14ac:dyDescent="0.3">
      <c r="A44" s="149" t="s">
        <v>354</v>
      </c>
      <c r="B44" s="150" t="s">
        <v>355</v>
      </c>
      <c r="C44" s="151" t="s">
        <v>353</v>
      </c>
      <c r="D44" s="152" t="s">
        <v>304</v>
      </c>
      <c r="E44" s="150"/>
      <c r="F44" s="153"/>
      <c r="G44">
        <f t="shared" si="0"/>
        <v>0</v>
      </c>
      <c r="H44">
        <f t="shared" si="1"/>
        <v>0</v>
      </c>
      <c r="S44" s="486" t="s">
        <v>372</v>
      </c>
      <c r="T44" s="487"/>
      <c r="U44" s="163"/>
      <c r="V44" s="163"/>
      <c r="W44" s="162">
        <v>1038</v>
      </c>
      <c r="X44" s="163"/>
      <c r="Y44">
        <f>SUM(Y5:Y43)</f>
        <v>91.31359999999998</v>
      </c>
      <c r="Z44">
        <f>SUM(Z5:Z43)</f>
        <v>0.18262720000000002</v>
      </c>
    </row>
    <row r="45" spans="1:26" ht="27" thickBot="1" x14ac:dyDescent="0.3">
      <c r="A45" s="149" t="s">
        <v>308</v>
      </c>
      <c r="B45" s="150" t="s">
        <v>309</v>
      </c>
      <c r="C45" s="151" t="s">
        <v>353</v>
      </c>
      <c r="D45" s="152" t="s">
        <v>304</v>
      </c>
      <c r="E45" s="150">
        <v>35</v>
      </c>
      <c r="F45" s="153">
        <v>159</v>
      </c>
      <c r="G45">
        <f t="shared" si="0"/>
        <v>5.5650000000000004</v>
      </c>
      <c r="H45">
        <f t="shared" si="1"/>
        <v>1.1130000000000001E-2</v>
      </c>
    </row>
    <row r="46" spans="1:26" ht="27" thickBot="1" x14ac:dyDescent="0.3">
      <c r="A46" s="149" t="s">
        <v>312</v>
      </c>
      <c r="B46" s="150" t="s">
        <v>356</v>
      </c>
      <c r="C46" s="151" t="s">
        <v>353</v>
      </c>
      <c r="D46" s="152" t="s">
        <v>304</v>
      </c>
      <c r="E46" s="150">
        <v>56.5</v>
      </c>
      <c r="F46" s="153">
        <v>76</v>
      </c>
      <c r="G46">
        <f t="shared" si="0"/>
        <v>4.2939999999999996</v>
      </c>
      <c r="H46">
        <f t="shared" si="1"/>
        <v>8.5879999999999984E-3</v>
      </c>
    </row>
    <row r="47" spans="1:26" ht="27" thickBot="1" x14ac:dyDescent="0.3">
      <c r="A47" s="149" t="s">
        <v>315</v>
      </c>
      <c r="B47" s="150" t="s">
        <v>316</v>
      </c>
      <c r="C47" s="151" t="s">
        <v>353</v>
      </c>
      <c r="D47" s="152" t="s">
        <v>304</v>
      </c>
      <c r="E47" s="150">
        <v>16.5</v>
      </c>
      <c r="F47" s="153">
        <v>108</v>
      </c>
      <c r="G47">
        <f t="shared" si="0"/>
        <v>1.782</v>
      </c>
      <c r="H47">
        <f t="shared" si="1"/>
        <v>3.5639999999999999E-3</v>
      </c>
    </row>
    <row r="48" spans="1:26" ht="27" thickBot="1" x14ac:dyDescent="0.3">
      <c r="A48" s="149" t="s">
        <v>320</v>
      </c>
      <c r="B48" s="150" t="s">
        <v>321</v>
      </c>
      <c r="C48" s="151" t="s">
        <v>353</v>
      </c>
      <c r="D48" s="152" t="s">
        <v>304</v>
      </c>
      <c r="E48" s="150">
        <v>16</v>
      </c>
      <c r="F48" s="153">
        <v>159</v>
      </c>
      <c r="G48">
        <f t="shared" si="0"/>
        <v>2.544</v>
      </c>
      <c r="H48">
        <f t="shared" si="1"/>
        <v>5.0880000000000005E-3</v>
      </c>
    </row>
    <row r="49" spans="1:8" ht="27" thickBot="1" x14ac:dyDescent="0.3">
      <c r="A49" s="149" t="s">
        <v>330</v>
      </c>
      <c r="B49" s="150" t="s">
        <v>357</v>
      </c>
      <c r="C49" s="151" t="s">
        <v>353</v>
      </c>
      <c r="D49" s="152" t="s">
        <v>304</v>
      </c>
      <c r="E49" s="150">
        <v>8.1</v>
      </c>
      <c r="F49" s="153">
        <v>76</v>
      </c>
      <c r="G49">
        <f t="shared" si="0"/>
        <v>0.61560000000000004</v>
      </c>
      <c r="H49">
        <f t="shared" si="1"/>
        <v>1.2312E-3</v>
      </c>
    </row>
    <row r="50" spans="1:8" ht="27" thickBot="1" x14ac:dyDescent="0.3">
      <c r="A50" s="149" t="s">
        <v>331</v>
      </c>
      <c r="B50" s="150" t="s">
        <v>332</v>
      </c>
      <c r="C50" s="151" t="s">
        <v>353</v>
      </c>
      <c r="D50" s="152" t="s">
        <v>304</v>
      </c>
      <c r="E50" s="150">
        <v>36.700000000000003</v>
      </c>
      <c r="F50" s="153">
        <v>159</v>
      </c>
      <c r="G50">
        <f t="shared" si="0"/>
        <v>5.8353000000000002</v>
      </c>
      <c r="H50">
        <f t="shared" si="1"/>
        <v>1.16706E-2</v>
      </c>
    </row>
    <row r="51" spans="1:8" ht="27" thickBot="1" x14ac:dyDescent="0.3">
      <c r="A51" s="149" t="s">
        <v>332</v>
      </c>
      <c r="B51" s="150" t="s">
        <v>358</v>
      </c>
      <c r="C51" s="151" t="s">
        <v>353</v>
      </c>
      <c r="D51" s="152" t="s">
        <v>304</v>
      </c>
      <c r="E51" s="150">
        <v>15</v>
      </c>
      <c r="F51" s="153">
        <v>159</v>
      </c>
      <c r="G51">
        <f t="shared" si="0"/>
        <v>2.3849999999999998</v>
      </c>
      <c r="H51">
        <f t="shared" si="1"/>
        <v>4.7699999999999999E-3</v>
      </c>
    </row>
    <row r="52" spans="1:8" ht="27" thickBot="1" x14ac:dyDescent="0.3">
      <c r="A52" s="149" t="s">
        <v>358</v>
      </c>
      <c r="B52" s="150" t="s">
        <v>359</v>
      </c>
      <c r="C52" s="151" t="s">
        <v>353</v>
      </c>
      <c r="D52" s="152" t="s">
        <v>304</v>
      </c>
      <c r="E52" s="150">
        <v>18</v>
      </c>
      <c r="F52" s="153">
        <v>108</v>
      </c>
      <c r="G52">
        <f t="shared" si="0"/>
        <v>1.944</v>
      </c>
      <c r="H52">
        <f t="shared" si="1"/>
        <v>3.888E-3</v>
      </c>
    </row>
    <row r="53" spans="1:8" ht="27" thickBot="1" x14ac:dyDescent="0.3">
      <c r="A53" s="149" t="s">
        <v>358</v>
      </c>
      <c r="B53" s="150" t="s">
        <v>340</v>
      </c>
      <c r="C53" s="151" t="s">
        <v>353</v>
      </c>
      <c r="D53" s="152" t="s">
        <v>304</v>
      </c>
      <c r="E53" s="150">
        <v>55.5</v>
      </c>
      <c r="F53" s="153">
        <v>108</v>
      </c>
      <c r="G53">
        <f t="shared" si="0"/>
        <v>5.9939999999999998</v>
      </c>
      <c r="H53">
        <f t="shared" si="1"/>
        <v>1.1988E-2</v>
      </c>
    </row>
    <row r="54" spans="1:8" ht="27" thickBot="1" x14ac:dyDescent="0.3">
      <c r="A54" s="149" t="s">
        <v>340</v>
      </c>
      <c r="B54" s="150" t="s">
        <v>342</v>
      </c>
      <c r="C54" s="151" t="s">
        <v>353</v>
      </c>
      <c r="D54" s="152" t="s">
        <v>304</v>
      </c>
      <c r="E54" s="150">
        <v>3</v>
      </c>
      <c r="F54" s="153">
        <v>57</v>
      </c>
      <c r="G54">
        <f t="shared" si="0"/>
        <v>0.17100000000000001</v>
      </c>
      <c r="H54">
        <f t="shared" si="1"/>
        <v>3.4200000000000002E-4</v>
      </c>
    </row>
    <row r="55" spans="1:8" ht="27" thickBot="1" x14ac:dyDescent="0.3">
      <c r="A55" s="149" t="s">
        <v>345</v>
      </c>
      <c r="B55" s="150" t="s">
        <v>360</v>
      </c>
      <c r="C55" s="151" t="s">
        <v>353</v>
      </c>
      <c r="D55" s="152" t="s">
        <v>304</v>
      </c>
      <c r="E55" s="150">
        <v>71</v>
      </c>
      <c r="F55" s="153">
        <v>57</v>
      </c>
      <c r="G55">
        <f t="shared" si="0"/>
        <v>4.0469999999999997</v>
      </c>
      <c r="H55">
        <f t="shared" si="1"/>
        <v>8.0939999999999988E-3</v>
      </c>
    </row>
    <row r="56" spans="1:8" ht="27" thickBot="1" x14ac:dyDescent="0.3">
      <c r="A56" s="149" t="s">
        <v>360</v>
      </c>
      <c r="B56" s="150" t="s">
        <v>361</v>
      </c>
      <c r="C56" s="151" t="s">
        <v>353</v>
      </c>
      <c r="D56" s="152" t="s">
        <v>304</v>
      </c>
      <c r="E56" s="150">
        <v>5</v>
      </c>
      <c r="F56" s="153">
        <v>45</v>
      </c>
      <c r="G56">
        <f t="shared" si="0"/>
        <v>0.22500000000000001</v>
      </c>
      <c r="H56">
        <f t="shared" si="1"/>
        <v>4.4999999999999999E-4</v>
      </c>
    </row>
    <row r="57" spans="1:8" ht="27" thickBot="1" x14ac:dyDescent="0.3">
      <c r="A57" s="149" t="s">
        <v>360</v>
      </c>
      <c r="B57" s="150" t="s">
        <v>362</v>
      </c>
      <c r="C57" s="151" t="s">
        <v>353</v>
      </c>
      <c r="D57" s="152" t="s">
        <v>304</v>
      </c>
      <c r="E57" s="150"/>
      <c r="F57" s="153"/>
      <c r="G57">
        <f t="shared" si="0"/>
        <v>0</v>
      </c>
      <c r="H57">
        <f t="shared" si="1"/>
        <v>0</v>
      </c>
    </row>
    <row r="58" spans="1:8" ht="27" thickBot="1" x14ac:dyDescent="0.3">
      <c r="A58" s="149" t="s">
        <v>360</v>
      </c>
      <c r="B58" s="150" t="s">
        <v>348</v>
      </c>
      <c r="C58" s="151" t="s">
        <v>353</v>
      </c>
      <c r="D58" s="152" t="s">
        <v>304</v>
      </c>
      <c r="E58" s="150">
        <v>7.3</v>
      </c>
      <c r="F58" s="153">
        <v>57</v>
      </c>
      <c r="G58">
        <f t="shared" si="0"/>
        <v>0.41609999999999997</v>
      </c>
      <c r="H58">
        <f t="shared" si="1"/>
        <v>8.3219999999999995E-4</v>
      </c>
    </row>
    <row r="59" spans="1:8" ht="27" thickBot="1" x14ac:dyDescent="0.3">
      <c r="A59" s="149" t="s">
        <v>348</v>
      </c>
      <c r="B59" s="150" t="s">
        <v>346</v>
      </c>
      <c r="C59" s="151" t="s">
        <v>353</v>
      </c>
      <c r="D59" s="152" t="s">
        <v>304</v>
      </c>
      <c r="E59" s="150"/>
      <c r="F59" s="153"/>
      <c r="G59">
        <f t="shared" si="0"/>
        <v>0</v>
      </c>
      <c r="H59">
        <f t="shared" si="1"/>
        <v>0</v>
      </c>
    </row>
    <row r="60" spans="1:8" ht="27" thickBot="1" x14ac:dyDescent="0.3">
      <c r="A60" s="149" t="s">
        <v>349</v>
      </c>
      <c r="B60" s="150" t="s">
        <v>350</v>
      </c>
      <c r="C60" s="151" t="s">
        <v>353</v>
      </c>
      <c r="D60" s="152" t="s">
        <v>304</v>
      </c>
      <c r="E60" s="150">
        <v>4.5</v>
      </c>
      <c r="F60" s="153">
        <v>57</v>
      </c>
      <c r="G60">
        <f t="shared" si="0"/>
        <v>0.25650000000000001</v>
      </c>
      <c r="H60">
        <f t="shared" si="1"/>
        <v>5.13E-4</v>
      </c>
    </row>
    <row r="61" spans="1:8" ht="27" thickBot="1" x14ac:dyDescent="0.3">
      <c r="A61" s="149" t="s">
        <v>351</v>
      </c>
      <c r="B61" s="150" t="s">
        <v>363</v>
      </c>
      <c r="C61" s="151" t="s">
        <v>353</v>
      </c>
      <c r="D61" s="152" t="s">
        <v>304</v>
      </c>
      <c r="E61" s="150"/>
      <c r="F61" s="153"/>
      <c r="G61">
        <f t="shared" si="0"/>
        <v>0</v>
      </c>
      <c r="H61">
        <f t="shared" si="1"/>
        <v>0</v>
      </c>
    </row>
    <row r="62" spans="1:8" ht="27" thickBot="1" x14ac:dyDescent="0.3">
      <c r="A62" s="149" t="s">
        <v>351</v>
      </c>
      <c r="B62" s="150" t="s">
        <v>364</v>
      </c>
      <c r="C62" s="151" t="s">
        <v>353</v>
      </c>
      <c r="D62" s="152" t="s">
        <v>304</v>
      </c>
      <c r="E62" s="150">
        <v>18.100000000000001</v>
      </c>
      <c r="F62" s="153">
        <v>45</v>
      </c>
      <c r="G62">
        <f t="shared" si="0"/>
        <v>0.81450000000000011</v>
      </c>
      <c r="H62">
        <f t="shared" si="1"/>
        <v>1.6290000000000002E-3</v>
      </c>
    </row>
    <row r="63" spans="1:8" ht="27" thickBot="1" x14ac:dyDescent="0.3">
      <c r="A63" s="149" t="s">
        <v>342</v>
      </c>
      <c r="B63" s="150" t="s">
        <v>365</v>
      </c>
      <c r="C63" s="151" t="s">
        <v>353</v>
      </c>
      <c r="D63" s="152" t="s">
        <v>304</v>
      </c>
      <c r="E63" s="150">
        <v>63.7</v>
      </c>
      <c r="F63" s="153">
        <v>57</v>
      </c>
      <c r="G63">
        <f t="shared" si="0"/>
        <v>3.6309</v>
      </c>
      <c r="H63">
        <f t="shared" si="1"/>
        <v>7.2617999999999997E-3</v>
      </c>
    </row>
    <row r="64" spans="1:8" ht="27" thickBot="1" x14ac:dyDescent="0.3">
      <c r="A64" s="154" t="s">
        <v>352</v>
      </c>
      <c r="B64" s="155" t="s">
        <v>354</v>
      </c>
      <c r="C64" s="156" t="s">
        <v>353</v>
      </c>
      <c r="D64" s="160" t="s">
        <v>304</v>
      </c>
      <c r="E64" s="155"/>
      <c r="F64" s="156"/>
      <c r="G64">
        <f t="shared" si="0"/>
        <v>0</v>
      </c>
      <c r="H64">
        <f t="shared" si="1"/>
        <v>0</v>
      </c>
    </row>
    <row r="65" spans="1:8" ht="27" thickBot="1" x14ac:dyDescent="0.3">
      <c r="A65" s="157" t="s">
        <v>366</v>
      </c>
      <c r="B65" s="158" t="s">
        <v>301</v>
      </c>
      <c r="C65" s="158" t="s">
        <v>303</v>
      </c>
      <c r="D65" s="161" t="s">
        <v>367</v>
      </c>
      <c r="E65" s="158"/>
      <c r="F65" s="158"/>
      <c r="G65">
        <f t="shared" si="0"/>
        <v>0</v>
      </c>
      <c r="H65">
        <f t="shared" si="1"/>
        <v>0</v>
      </c>
    </row>
    <row r="66" spans="1:8" ht="15.75" thickBot="1" x14ac:dyDescent="0.3">
      <c r="A66" s="159" t="s">
        <v>301</v>
      </c>
      <c r="B66" s="151" t="s">
        <v>305</v>
      </c>
      <c r="C66" s="151" t="s">
        <v>303</v>
      </c>
      <c r="D66" s="152" t="s">
        <v>367</v>
      </c>
      <c r="E66" s="151">
        <v>44.3</v>
      </c>
      <c r="F66" s="151">
        <v>159</v>
      </c>
      <c r="G66">
        <f t="shared" si="0"/>
        <v>7.0436999999999994</v>
      </c>
      <c r="H66">
        <f t="shared" si="1"/>
        <v>1.4087399999999998E-2</v>
      </c>
    </row>
    <row r="67" spans="1:8" ht="15.75" thickBot="1" x14ac:dyDescent="0.3">
      <c r="A67" s="159" t="s">
        <v>368</v>
      </c>
      <c r="B67" s="151" t="s">
        <v>369</v>
      </c>
      <c r="C67" s="151" t="s">
        <v>303</v>
      </c>
      <c r="D67" s="152" t="s">
        <v>367</v>
      </c>
      <c r="E67" s="151">
        <v>35</v>
      </c>
      <c r="F67" s="151">
        <v>108</v>
      </c>
      <c r="G67">
        <f t="shared" si="0"/>
        <v>3.78</v>
      </c>
      <c r="H67">
        <f t="shared" si="1"/>
        <v>7.5599999999999999E-3</v>
      </c>
    </row>
    <row r="68" spans="1:8" ht="27" thickBot="1" x14ac:dyDescent="0.3">
      <c r="A68" s="159" t="s">
        <v>343</v>
      </c>
      <c r="B68" s="151" t="s">
        <v>370</v>
      </c>
      <c r="C68" s="151" t="s">
        <v>303</v>
      </c>
      <c r="D68" s="152" t="s">
        <v>367</v>
      </c>
      <c r="E68" s="151">
        <v>7.2</v>
      </c>
      <c r="F68" s="151">
        <v>32</v>
      </c>
      <c r="G68">
        <f t="shared" si="0"/>
        <v>0.23039999999999999</v>
      </c>
      <c r="H68">
        <f t="shared" si="1"/>
        <v>4.6079999999999998E-4</v>
      </c>
    </row>
    <row r="69" spans="1:8" ht="27" thickBot="1" x14ac:dyDescent="0.3">
      <c r="A69" s="149" t="s">
        <v>312</v>
      </c>
      <c r="B69" s="150" t="s">
        <v>368</v>
      </c>
      <c r="C69" s="151" t="s">
        <v>353</v>
      </c>
      <c r="D69" s="152" t="s">
        <v>367</v>
      </c>
      <c r="E69" s="150">
        <v>6.5</v>
      </c>
      <c r="F69" s="153">
        <v>108</v>
      </c>
      <c r="G69">
        <f t="shared" si="0"/>
        <v>0.70199999999999996</v>
      </c>
      <c r="H69">
        <f t="shared" si="1"/>
        <v>1.4039999999999999E-3</v>
      </c>
    </row>
    <row r="70" spans="1:8" ht="27" thickBot="1" x14ac:dyDescent="0.3">
      <c r="A70" s="154" t="s">
        <v>350</v>
      </c>
      <c r="B70" s="155" t="s">
        <v>371</v>
      </c>
      <c r="C70" s="156" t="s">
        <v>353</v>
      </c>
      <c r="D70" s="160" t="s">
        <v>367</v>
      </c>
      <c r="E70" s="155">
        <v>7</v>
      </c>
      <c r="F70" s="156">
        <v>32</v>
      </c>
      <c r="G70">
        <f t="shared" ref="G70" si="8">E70*F70/1000</f>
        <v>0.224</v>
      </c>
      <c r="H70">
        <f t="shared" ref="H70" si="9">G70*2/1000</f>
        <v>4.4799999999999999E-4</v>
      </c>
    </row>
    <row r="71" spans="1:8" ht="15.75" thickBot="1" x14ac:dyDescent="0.3">
      <c r="A71" s="484" t="s">
        <v>372</v>
      </c>
      <c r="B71" s="485"/>
      <c r="C71" s="162"/>
      <c r="D71" s="162"/>
      <c r="E71" s="162">
        <v>1495</v>
      </c>
      <c r="F71" s="162"/>
      <c r="G71">
        <f>SUM(G5:G70)</f>
        <v>134.89619999999999</v>
      </c>
      <c r="H71">
        <f>SUM(H5:H70)</f>
        <v>0.26979240000000004</v>
      </c>
    </row>
    <row r="83" spans="3:11" ht="15.75" thickBot="1" x14ac:dyDescent="0.3"/>
    <row r="84" spans="3:11" ht="52.5" thickBot="1" x14ac:dyDescent="0.3">
      <c r="F84" s="169" t="s">
        <v>1</v>
      </c>
      <c r="G84" s="170" t="s">
        <v>27</v>
      </c>
      <c r="H84" s="14" t="s">
        <v>416</v>
      </c>
      <c r="I84" s="14" t="s">
        <v>417</v>
      </c>
      <c r="J84" s="14" t="s">
        <v>418</v>
      </c>
    </row>
    <row r="85" spans="3:11" ht="60.75" thickBot="1" x14ac:dyDescent="0.3">
      <c r="F85" s="171">
        <v>1</v>
      </c>
      <c r="G85" s="20" t="s">
        <v>419</v>
      </c>
      <c r="H85" s="173">
        <f>H71+L116</f>
        <v>0.25390740000000006</v>
      </c>
      <c r="I85" s="172">
        <v>624.29999999999995</v>
      </c>
      <c r="J85" s="172">
        <v>355.6</v>
      </c>
    </row>
    <row r="86" spans="3:11" ht="60.75" thickBot="1" x14ac:dyDescent="0.3">
      <c r="F86" s="171">
        <v>2</v>
      </c>
      <c r="G86" s="20" t="s">
        <v>420</v>
      </c>
      <c r="H86" s="174">
        <f>Q12+L117</f>
        <v>3.0240000000000003E-2</v>
      </c>
      <c r="I86">
        <v>117.9</v>
      </c>
      <c r="J86">
        <v>47.9</v>
      </c>
    </row>
    <row r="87" spans="3:11" ht="60.75" thickBot="1" x14ac:dyDescent="0.3">
      <c r="F87" s="171">
        <v>3</v>
      </c>
      <c r="G87" s="20" t="s">
        <v>421</v>
      </c>
      <c r="H87" s="174">
        <f>Z44+L133</f>
        <v>0.18556900000000001</v>
      </c>
      <c r="I87">
        <v>421.5</v>
      </c>
      <c r="J87">
        <v>242.3</v>
      </c>
    </row>
    <row r="88" spans="3:11" ht="60.75" thickBot="1" x14ac:dyDescent="0.3">
      <c r="F88" s="171">
        <v>4</v>
      </c>
      <c r="G88" s="20" t="s">
        <v>422</v>
      </c>
      <c r="H88" s="174">
        <f>AI11+L135</f>
        <v>1.4329E-2</v>
      </c>
      <c r="I88">
        <v>93.6</v>
      </c>
      <c r="J88">
        <v>25</v>
      </c>
    </row>
    <row r="94" spans="3:11" ht="54" customHeight="1" x14ac:dyDescent="0.25">
      <c r="C94">
        <v>1</v>
      </c>
      <c r="D94" s="181" t="str">
        <f>'№2 ИП ТС'!B64</f>
        <v>Реконструкция участка сети от ТК-6 до ул. Рабочая, д. 3, Дн25 мм длиной 5 м (прокладка подземная канальная) котельная № 1 п. Верхний Ландех</v>
      </c>
      <c r="E94">
        <f>'№2 ИП ТС'!F64</f>
        <v>45</v>
      </c>
      <c r="F94">
        <f>'№2 ИП ТС'!H64</f>
        <v>0.01</v>
      </c>
      <c r="G94">
        <f>E94*F94/1000</f>
        <v>4.4999999999999999E-4</v>
      </c>
      <c r="H94">
        <f>'№2 ИП ТС'!K64</f>
        <v>25</v>
      </c>
      <c r="I94">
        <f>'№2 ИП ТС'!M64</f>
        <v>0.01</v>
      </c>
      <c r="J94">
        <f>H94*I94/1000</f>
        <v>2.5000000000000001E-4</v>
      </c>
      <c r="K94">
        <f>J94-G94</f>
        <v>-1.9999999999999998E-4</v>
      </c>
    </row>
    <row r="95" spans="3:11" ht="90" x14ac:dyDescent="0.25">
      <c r="C95">
        <v>2</v>
      </c>
      <c r="D95" s="181" t="str">
        <f>'№2 ИП ТС'!B65</f>
        <v>Реконструкция участка сети от ТК-8 до ул. Рабочая, д. 9, Дн25 мм длиной 18,1 м (прокладка подземная канальная) котельная № 1 п.Верхний Ландех</v>
      </c>
      <c r="E95">
        <f>'№2 ИП ТС'!F65</f>
        <v>45</v>
      </c>
      <c r="F95">
        <f>'№2 ИП ТС'!H65</f>
        <v>3.6200000000000003E-2</v>
      </c>
      <c r="G95">
        <f t="shared" ref="G95:G135" si="10">E95*F95/1000</f>
        <v>1.6290000000000002E-3</v>
      </c>
      <c r="H95">
        <f>'№2 ИП ТС'!K65</f>
        <v>25</v>
      </c>
      <c r="I95">
        <f>'№2 ИП ТС'!M65</f>
        <v>3.6200000000000003E-2</v>
      </c>
      <c r="J95">
        <f t="shared" ref="J95:J135" si="11">H95*I95/1000</f>
        <v>9.0499999999999999E-4</v>
      </c>
      <c r="K95">
        <f t="shared" ref="K95:L136" si="12">J95-G95</f>
        <v>-7.2400000000000025E-4</v>
      </c>
    </row>
    <row r="96" spans="3:11" ht="75" x14ac:dyDescent="0.25">
      <c r="C96">
        <v>3</v>
      </c>
      <c r="D96" s="181" t="str">
        <f>'№2 ИП ТС'!B66</f>
        <v>Реконструкция участка сети от ТК-7 до ТК-8, Дн32 мм длиной 21,4 м (надземная прокладка) котельная № 1 п. Верхний Ландех</v>
      </c>
      <c r="E96">
        <f>'№2 ИП ТС'!F66</f>
        <v>57</v>
      </c>
      <c r="F96">
        <f>'№2 ИП ТС'!H66</f>
        <v>4.2799999999999998E-2</v>
      </c>
      <c r="G96">
        <f t="shared" si="10"/>
        <v>2.4396000000000001E-3</v>
      </c>
      <c r="H96">
        <f>'№2 ИП ТС'!K66</f>
        <v>32</v>
      </c>
      <c r="I96">
        <f>'№2 ИП ТС'!M66</f>
        <v>4.2799999999999998E-2</v>
      </c>
      <c r="J96">
        <f t="shared" si="11"/>
        <v>1.3695999999999999E-3</v>
      </c>
      <c r="K96">
        <f t="shared" si="12"/>
        <v>-1.0700000000000002E-3</v>
      </c>
    </row>
    <row r="97" spans="3:11" ht="90" x14ac:dyDescent="0.25">
      <c r="C97">
        <v>4</v>
      </c>
      <c r="D97" s="181" t="str">
        <f>'№2 ИП ТС'!B67</f>
        <v>Реконструкция участка сети от ТК-5 до ул. Комсомольская, д. 6, Дн38 мм длиной 63,7 м (прокладка подземная канальная) котельная № 1 п. Верхний Ландех</v>
      </c>
      <c r="E97">
        <f>'№2 ИП ТС'!F67</f>
        <v>57</v>
      </c>
      <c r="F97">
        <f>'№2 ИП ТС'!H67</f>
        <v>0.12740000000000001</v>
      </c>
      <c r="G97">
        <f t="shared" si="10"/>
        <v>7.2618000000000005E-3</v>
      </c>
      <c r="H97">
        <f>'№2 ИП ТС'!K67</f>
        <v>38</v>
      </c>
      <c r="I97">
        <f>'№2 ИП ТС'!M67</f>
        <v>0.12740000000000001</v>
      </c>
      <c r="J97">
        <f t="shared" si="11"/>
        <v>4.8412000000000004E-3</v>
      </c>
      <c r="K97">
        <f t="shared" si="12"/>
        <v>-2.4206000000000002E-3</v>
      </c>
    </row>
    <row r="98" spans="3:11" ht="75" x14ac:dyDescent="0.25">
      <c r="C98">
        <v>5</v>
      </c>
      <c r="D98" s="181" t="str">
        <f>'№2 ИП ТС'!B68</f>
        <v>Реконструкция участка сети от У-30 до У-31, Дн45 мм длиной 6,2 м (надземная прокладка) котельная № 1 п. Верхний Ландех</v>
      </c>
      <c r="E98">
        <f>'№2 ИП ТС'!F68</f>
        <v>57</v>
      </c>
      <c r="F98">
        <f>'№2 ИП ТС'!H68</f>
        <v>1.24E-2</v>
      </c>
      <c r="G98">
        <f t="shared" si="10"/>
        <v>7.0679999999999994E-4</v>
      </c>
      <c r="H98">
        <f>'№2 ИП ТС'!K68</f>
        <v>45</v>
      </c>
      <c r="I98">
        <f>'№2 ИП ТС'!M68</f>
        <v>1.24E-2</v>
      </c>
      <c r="J98">
        <f t="shared" si="11"/>
        <v>5.579999999999999E-4</v>
      </c>
      <c r="K98">
        <f t="shared" si="12"/>
        <v>-1.4880000000000004E-4</v>
      </c>
    </row>
    <row r="99" spans="3:11" ht="75" x14ac:dyDescent="0.25">
      <c r="C99">
        <v>6</v>
      </c>
      <c r="D99" s="181" t="str">
        <f>'№2 ИП ТС'!B69</f>
        <v>Реконструкция участка сети от У-31 до У-31А, Дн45 мм длиной 38 м (надземная прокладка) котельная № 1 п. Верхний Ландех</v>
      </c>
      <c r="E99">
        <f>'№2 ИП ТС'!F69</f>
        <v>57</v>
      </c>
      <c r="F99">
        <f>'№2 ИП ТС'!H69</f>
        <v>7.5999999999999998E-2</v>
      </c>
      <c r="G99">
        <f t="shared" si="10"/>
        <v>4.3319999999999999E-3</v>
      </c>
      <c r="H99">
        <f>'№2 ИП ТС'!K69</f>
        <v>45</v>
      </c>
      <c r="I99">
        <f>'№2 ИП ТС'!M69</f>
        <v>7.5999999999999998E-2</v>
      </c>
      <c r="J99">
        <f t="shared" si="11"/>
        <v>3.4199999999999999E-3</v>
      </c>
      <c r="K99">
        <f t="shared" si="12"/>
        <v>-9.1200000000000005E-4</v>
      </c>
    </row>
    <row r="100" spans="3:11" ht="75" x14ac:dyDescent="0.25">
      <c r="C100">
        <v>7</v>
      </c>
      <c r="D100" s="181" t="str">
        <f>'№2 ИП ТС'!B70</f>
        <v>Реконструкция участка сети от У-31А до ТК-6, Дн45 мм длиной 71 м (прокладка подземная канальная) котельная № 1 п. Верхний Ландех</v>
      </c>
      <c r="E100">
        <f>'№2 ИП ТС'!F70</f>
        <v>57</v>
      </c>
      <c r="F100">
        <f>'№2 ИП ТС'!H70</f>
        <v>0.14199999999999999</v>
      </c>
      <c r="G100">
        <f t="shared" si="10"/>
        <v>8.0939999999999988E-3</v>
      </c>
      <c r="H100">
        <f>'№2 ИП ТС'!K70</f>
        <v>45</v>
      </c>
      <c r="I100">
        <f>'№2 ИП ТС'!M70</f>
        <v>0.14199999999999999</v>
      </c>
      <c r="J100">
        <f t="shared" si="11"/>
        <v>6.3899999999999998E-3</v>
      </c>
      <c r="K100">
        <f t="shared" si="12"/>
        <v>-1.7039999999999989E-3</v>
      </c>
    </row>
    <row r="101" spans="3:11" ht="75" x14ac:dyDescent="0.25">
      <c r="C101">
        <v>8</v>
      </c>
      <c r="D101" s="181" t="str">
        <f>'№2 ИП ТС'!B71</f>
        <v>Реконструкция участка сети от ТК-6 до У-32, Дн45 мм длиной 7,3 м (прокладка подземная канальная) котельная № 1 п. Верхний Ландех</v>
      </c>
      <c r="E101">
        <f>'№2 ИП ТС'!F71</f>
        <v>57</v>
      </c>
      <c r="F101">
        <f>'№2 ИП ТС'!H71</f>
        <v>1.46E-2</v>
      </c>
      <c r="G101">
        <f t="shared" si="10"/>
        <v>8.3220000000000006E-4</v>
      </c>
      <c r="H101">
        <f>'№2 ИП ТС'!K71</f>
        <v>45</v>
      </c>
      <c r="I101">
        <f>'№2 ИП ТС'!M71</f>
        <v>1.46E-2</v>
      </c>
      <c r="J101">
        <f t="shared" si="11"/>
        <v>6.5700000000000003E-4</v>
      </c>
      <c r="K101">
        <f t="shared" si="12"/>
        <v>-1.7520000000000003E-4</v>
      </c>
    </row>
    <row r="102" spans="3:11" ht="90" x14ac:dyDescent="0.25">
      <c r="C102">
        <v>9</v>
      </c>
      <c r="D102" s="181" t="str">
        <f>'№2 ИП ТС'!B72</f>
        <v>Реконструкция участка сети от У-34 до ТК-7, Дн45 мм длиной 9,5 м (прокладка подземная канальная с выносом на поверхность) котельная № 1 п. Верхний Ландех</v>
      </c>
      <c r="E102">
        <f>'№2 ИП ТС'!F72</f>
        <v>57</v>
      </c>
      <c r="F102">
        <f>'№2 ИП ТС'!H72</f>
        <v>8.9999999999999993E-3</v>
      </c>
      <c r="G102">
        <f t="shared" si="10"/>
        <v>5.13E-4</v>
      </c>
      <c r="H102">
        <f>'№2 ИП ТС'!K72</f>
        <v>45</v>
      </c>
      <c r="I102">
        <f>'№2 ИП ТС'!M72</f>
        <v>1.9E-2</v>
      </c>
      <c r="J102">
        <f t="shared" si="11"/>
        <v>8.5499999999999997E-4</v>
      </c>
      <c r="K102">
        <f t="shared" si="12"/>
        <v>3.4199999999999996E-4</v>
      </c>
    </row>
    <row r="103" spans="3:11" ht="60" x14ac:dyDescent="0.25">
      <c r="C103">
        <v>10</v>
      </c>
      <c r="D103" s="181" t="str">
        <f>'№2 ИП ТС'!B73</f>
        <v>Реконструкция тепловых сетей в п. Верхний Ландех, ул. Новая, 1А , от У-29 до ТК-5, L=13м, Дн76мм, надземная прокладка</v>
      </c>
      <c r="E103">
        <f>'№2 ИП ТС'!F73</f>
        <v>57</v>
      </c>
      <c r="F103">
        <f>'№2 ИП ТС'!H73</f>
        <v>6.0000000000000001E-3</v>
      </c>
      <c r="G103">
        <f t="shared" si="10"/>
        <v>3.4200000000000002E-4</v>
      </c>
      <c r="H103">
        <f>'№2 ИП ТС'!K73</f>
        <v>76</v>
      </c>
      <c r="I103">
        <f>'№2 ИП ТС'!M73</f>
        <v>2.5999999999999999E-2</v>
      </c>
      <c r="J103">
        <f t="shared" si="11"/>
        <v>1.9759999999999999E-3</v>
      </c>
      <c r="K103">
        <f t="shared" si="12"/>
        <v>1.6339999999999998E-3</v>
      </c>
    </row>
    <row r="104" spans="3:11" ht="75" x14ac:dyDescent="0.25">
      <c r="C104">
        <v>11</v>
      </c>
      <c r="D104" s="181" t="str">
        <f>'№2 ИП ТС'!B74</f>
        <v>Реконструкция тепловых сетей в п.Верхний Ландех, ул. Новая, 1А , от У-14 до ул.Восточная, д. 1А (д/с), L=15м, Дн76мм, надземная прокладка</v>
      </c>
      <c r="E104">
        <f>'№2 ИП ТС'!F74</f>
        <v>159</v>
      </c>
      <c r="F104">
        <f>'№2 ИП ТС'!H74</f>
        <v>0.03</v>
      </c>
      <c r="G104">
        <f t="shared" si="10"/>
        <v>4.7699999999999999E-3</v>
      </c>
      <c r="H104">
        <f>'№2 ИП ТС'!K74</f>
        <v>76</v>
      </c>
      <c r="I104">
        <f>'№2 ИП ТС'!M74</f>
        <v>0.03</v>
      </c>
      <c r="J104">
        <f t="shared" si="11"/>
        <v>2.2799999999999999E-3</v>
      </c>
      <c r="K104">
        <f t="shared" si="12"/>
        <v>-2.49E-3</v>
      </c>
    </row>
    <row r="105" spans="3:11" ht="75" x14ac:dyDescent="0.25">
      <c r="C105">
        <v>12</v>
      </c>
      <c r="D105" s="181" t="str">
        <f>'№2 ИП ТС'!B75</f>
        <v>Реконструкция тепловых сетей в п. Верхний Ландех, ул. Новая, 1А , от У-28 до ул. Комсомольская, д.16, L=18м, Ду80мм, канальная прокладка</v>
      </c>
      <c r="E105">
        <f>'№2 ИП ТС'!F75</f>
        <v>108</v>
      </c>
      <c r="F105">
        <f>'№2 ИП ТС'!H75</f>
        <v>3.5999999999999997E-2</v>
      </c>
      <c r="G105">
        <f t="shared" si="10"/>
        <v>3.888E-3</v>
      </c>
      <c r="H105">
        <f>'№2 ИП ТС'!K75</f>
        <v>89</v>
      </c>
      <c r="I105">
        <f>'№2 ИП ТС'!M75</f>
        <v>3.5999999999999997E-2</v>
      </c>
      <c r="J105">
        <f t="shared" si="11"/>
        <v>3.2039999999999998E-3</v>
      </c>
      <c r="K105">
        <f t="shared" si="12"/>
        <v>-6.8400000000000015E-4</v>
      </c>
    </row>
    <row r="106" spans="3:11" ht="90" x14ac:dyDescent="0.25">
      <c r="C106">
        <v>13</v>
      </c>
      <c r="D106" s="181" t="str">
        <f>'№2 ИП ТС'!B76</f>
        <v>Реконструкция тепловых сетей (подземной прокладки с выносом на поверхность) в п. Верхний Ландех, ул. Новая, 1А , от У-28 до У-29, L=65,5м, Дн76мм, надземная прокладка</v>
      </c>
      <c r="E106">
        <f>'№2 ИП ТС'!F76</f>
        <v>108</v>
      </c>
      <c r="F106">
        <f>'№2 ИП ТС'!H76</f>
        <v>0.111</v>
      </c>
      <c r="G106">
        <f t="shared" si="10"/>
        <v>1.1988E-2</v>
      </c>
      <c r="H106">
        <f>'№2 ИП ТС'!K76</f>
        <v>76</v>
      </c>
      <c r="I106">
        <f>'№2 ИП ТС'!M76</f>
        <v>0.13100000000000001</v>
      </c>
      <c r="J106">
        <f t="shared" si="11"/>
        <v>9.9559999999999996E-3</v>
      </c>
      <c r="K106">
        <f t="shared" si="12"/>
        <v>-2.0320000000000008E-3</v>
      </c>
    </row>
    <row r="107" spans="3:11" ht="90" x14ac:dyDescent="0.25">
      <c r="C107">
        <v>14</v>
      </c>
      <c r="D107" s="181" t="str">
        <f>'№2 ИП ТС'!B77</f>
        <v>Реконструкция тепловых сетей (подземной прокладки с выносом на поверхность) в п. Верхний Ландех, ул. Новая, 1А, от ТК-4 до У-28, L=15м, Ду100, надземная прокладка</v>
      </c>
      <c r="E107">
        <f>'№2 ИП ТС'!F77</f>
        <v>159</v>
      </c>
      <c r="F107">
        <f>'№2 ИП ТС'!H77</f>
        <v>0.03</v>
      </c>
      <c r="G107">
        <f t="shared" si="10"/>
        <v>4.7699999999999999E-3</v>
      </c>
      <c r="H107">
        <f>'№2 ИП ТС'!K77</f>
        <v>108</v>
      </c>
      <c r="I107">
        <f>'№2 ИП ТС'!M77</f>
        <v>0.05</v>
      </c>
      <c r="J107">
        <f t="shared" si="11"/>
        <v>5.4000000000000003E-3</v>
      </c>
      <c r="K107">
        <f t="shared" si="12"/>
        <v>6.3000000000000035E-4</v>
      </c>
    </row>
    <row r="108" spans="3:11" ht="60" x14ac:dyDescent="0.25">
      <c r="C108">
        <v>15</v>
      </c>
      <c r="D108" s="181" t="str">
        <f>'№2 ИП ТС'!B78</f>
        <v>Реконструкция тепловых сетей в п. Верхний Ландех, ул. Новая, 1А, от У-15 до У-16, L=40м, Ду125, надземная прокладка</v>
      </c>
      <c r="E108">
        <f>'№2 ИП ТС'!F78</f>
        <v>159</v>
      </c>
      <c r="F108">
        <f>'№2 ИП ТС'!H78</f>
        <v>0.08</v>
      </c>
      <c r="G108">
        <f t="shared" si="10"/>
        <v>1.272E-2</v>
      </c>
      <c r="H108">
        <f>'№2 ИП ТС'!K78</f>
        <v>133</v>
      </c>
      <c r="I108">
        <f>'№2 ИП ТС'!M78</f>
        <v>0.08</v>
      </c>
      <c r="J108">
        <f t="shared" si="11"/>
        <v>1.064E-2</v>
      </c>
      <c r="K108">
        <f t="shared" si="12"/>
        <v>-2.0800000000000003E-3</v>
      </c>
    </row>
    <row r="109" spans="3:11" ht="60" x14ac:dyDescent="0.25">
      <c r="C109">
        <v>16</v>
      </c>
      <c r="D109" s="181" t="str">
        <f>'№2 ИП ТС'!B79</f>
        <v>Реконструкция тепловых сетей в п. Верхний Ландех, ул. Новая, 1А, от У-17 до У-18, L=21,6м, Ду125, надземная прокладка</v>
      </c>
      <c r="E109">
        <f>'№2 ИП ТС'!F79</f>
        <v>159</v>
      </c>
      <c r="F109">
        <f>'№2 ИП ТС'!H79</f>
        <v>4.3200000000000002E-2</v>
      </c>
      <c r="G109">
        <f t="shared" si="10"/>
        <v>6.8688000000000004E-3</v>
      </c>
      <c r="H109">
        <f>'№2 ИП ТС'!K79</f>
        <v>133</v>
      </c>
      <c r="I109">
        <f>'№2 ИП ТС'!M79</f>
        <v>4.3200000000000002E-2</v>
      </c>
      <c r="J109">
        <f t="shared" si="11"/>
        <v>5.7456000000000009E-3</v>
      </c>
      <c r="K109">
        <f t="shared" si="12"/>
        <v>-1.1231999999999995E-3</v>
      </c>
    </row>
    <row r="110" spans="3:11" ht="60" x14ac:dyDescent="0.25">
      <c r="C110">
        <v>17</v>
      </c>
      <c r="D110" s="181" t="str">
        <f>'№2 ИП ТС'!B80</f>
        <v>Реконструкция тепловых сетей в п. Верхний Ландех, ул. Новая, 1А, от У-18 до У-20, L=20,3 м, Ду125, надземная прокладка</v>
      </c>
      <c r="E110">
        <f>'№2 ИП ТС'!F80</f>
        <v>159</v>
      </c>
      <c r="F110">
        <f>'№2 ИП ТС'!H80</f>
        <v>4.0599999999999997E-2</v>
      </c>
      <c r="G110">
        <f t="shared" si="10"/>
        <v>6.4553999999999992E-3</v>
      </c>
      <c r="H110">
        <f>'№2 ИП ТС'!K80</f>
        <v>133</v>
      </c>
      <c r="I110">
        <f>'№2 ИП ТС'!M80</f>
        <v>4.0599999999999997E-2</v>
      </c>
      <c r="J110">
        <f t="shared" si="11"/>
        <v>5.3997999999999997E-3</v>
      </c>
      <c r="K110">
        <f t="shared" si="12"/>
        <v>-1.0555999999999994E-3</v>
      </c>
    </row>
    <row r="111" spans="3:11" ht="60" x14ac:dyDescent="0.25">
      <c r="C111">
        <v>18</v>
      </c>
      <c r="D111" s="181" t="str">
        <f>'№2 ИП ТС'!B81</f>
        <v>Реконструкция тепловых сетей в п.Верхний Ландех, ул. Новая, 1А , от У-20 до У-21, L=7,4м, Ду125, надземная прокладка</v>
      </c>
      <c r="E111">
        <f>'№2 ИП ТС'!F81</f>
        <v>159</v>
      </c>
      <c r="F111">
        <f>'№2 ИП ТС'!H81</f>
        <v>1.4800000000000001E-2</v>
      </c>
      <c r="G111">
        <f t="shared" si="10"/>
        <v>2.3532000000000002E-3</v>
      </c>
      <c r="H111">
        <f>'№2 ИП ТС'!K81</f>
        <v>133</v>
      </c>
      <c r="I111">
        <f>'№2 ИП ТС'!M81</f>
        <v>1.4800000000000001E-2</v>
      </c>
      <c r="J111">
        <f t="shared" si="11"/>
        <v>1.9684000000000004E-3</v>
      </c>
      <c r="K111">
        <f t="shared" si="12"/>
        <v>-3.8479999999999981E-4</v>
      </c>
    </row>
    <row r="112" spans="3:11" ht="60" x14ac:dyDescent="0.25">
      <c r="C112">
        <v>19</v>
      </c>
      <c r="D112" s="181" t="str">
        <f>'№2 ИП ТС'!B82</f>
        <v>Реконструкция тепловых сетей в п. Верхний Ландех, ул. Новая, 1А, от У-21 до У-22, L=11м, Ду125, надземная прокладка</v>
      </c>
      <c r="E112">
        <f>'№2 ИП ТС'!F82</f>
        <v>159</v>
      </c>
      <c r="F112">
        <f>'№2 ИП ТС'!H82</f>
        <v>2.1999999999999999E-2</v>
      </c>
      <c r="G112">
        <f t="shared" si="10"/>
        <v>3.4979999999999998E-3</v>
      </c>
      <c r="H112">
        <f>'№2 ИП ТС'!K82</f>
        <v>133</v>
      </c>
      <c r="I112">
        <f>'№2 ИП ТС'!M82</f>
        <v>2.1999999999999999E-2</v>
      </c>
      <c r="J112">
        <f t="shared" si="11"/>
        <v>2.9259999999999998E-3</v>
      </c>
      <c r="K112">
        <f t="shared" si="12"/>
        <v>-5.7200000000000003E-4</v>
      </c>
    </row>
    <row r="113" spans="3:12" ht="60" x14ac:dyDescent="0.25">
      <c r="C113">
        <v>20</v>
      </c>
      <c r="D113" s="181" t="str">
        <f>'№2 ИП ТС'!B83</f>
        <v>Реконструкция тепловых сетей в п. Верхний Ландех, ул. Новая, 1А , от У-22 до У-23, L=3м, Ду125, надземная прокладка</v>
      </c>
      <c r="E113">
        <f>'№2 ИП ТС'!F83</f>
        <v>159</v>
      </c>
      <c r="F113">
        <f>'№2 ИП ТС'!H83</f>
        <v>6.0000000000000001E-3</v>
      </c>
      <c r="G113">
        <f t="shared" si="10"/>
        <v>9.540000000000001E-4</v>
      </c>
      <c r="H113">
        <f>'№2 ИП ТС'!K83</f>
        <v>133</v>
      </c>
      <c r="I113">
        <f>'№2 ИП ТС'!M83</f>
        <v>6.0000000000000001E-3</v>
      </c>
      <c r="J113">
        <f t="shared" si="11"/>
        <v>7.9799999999999999E-4</v>
      </c>
      <c r="K113">
        <f t="shared" si="12"/>
        <v>-1.5600000000000011E-4</v>
      </c>
    </row>
    <row r="114" spans="3:12" ht="60" x14ac:dyDescent="0.25">
      <c r="C114">
        <v>21</v>
      </c>
      <c r="D114" s="181" t="str">
        <f>'№2 ИП ТС'!B84</f>
        <v>Реконструкция тепловых сетей в п. Верхний Ландех, ул. Новая, 1А , от У-23 до У-24, L=9,2м, Ду125, надземная прокладка</v>
      </c>
      <c r="E114">
        <f>'№2 ИП ТС'!F84</f>
        <v>159</v>
      </c>
      <c r="F114">
        <f>'№2 ИП ТС'!H84</f>
        <v>1.84E-2</v>
      </c>
      <c r="G114">
        <f t="shared" si="10"/>
        <v>2.9255999999999996E-3</v>
      </c>
      <c r="H114">
        <f>'№2 ИП ТС'!K84</f>
        <v>133</v>
      </c>
      <c r="I114">
        <f>'№2 ИП ТС'!M84</f>
        <v>1.84E-2</v>
      </c>
      <c r="J114">
        <f t="shared" si="11"/>
        <v>2.4472000000000001E-3</v>
      </c>
      <c r="K114">
        <f t="shared" si="12"/>
        <v>-4.7839999999999949E-4</v>
      </c>
    </row>
    <row r="115" spans="3:12" ht="90" x14ac:dyDescent="0.25">
      <c r="C115">
        <v>22</v>
      </c>
      <c r="D115" s="181" t="str">
        <f>'№2 ИП ТС'!B85</f>
        <v>Реконструкция тепловых сетей (подземной прокладки с выносом на поверхность) в п. Верхний Ландех, ул. Новая, 1А, от У-16 до У-17, L=26м, Ду125, надземная прокладка</v>
      </c>
      <c r="E115">
        <f>'№2 ИП ТС'!F85</f>
        <v>159</v>
      </c>
      <c r="F115">
        <f>'№2 ИП ТС'!H85</f>
        <v>3.2000000000000001E-2</v>
      </c>
      <c r="G115">
        <f t="shared" si="10"/>
        <v>5.0880000000000005E-3</v>
      </c>
      <c r="H115">
        <f>'№2 ИП ТС'!K85</f>
        <v>133</v>
      </c>
      <c r="I115">
        <f>'№2 ИП ТС'!M85</f>
        <v>5.1999999999999998E-2</v>
      </c>
      <c r="J115">
        <f t="shared" si="11"/>
        <v>6.9159999999999994E-3</v>
      </c>
      <c r="K115">
        <f t="shared" si="12"/>
        <v>1.8279999999999989E-3</v>
      </c>
    </row>
    <row r="116" spans="3:12" ht="60" x14ac:dyDescent="0.25">
      <c r="C116">
        <v>23</v>
      </c>
      <c r="D116" s="181" t="str">
        <f>'№2 ИП ТС'!B86</f>
        <v>Реконструкция тепловых сетей в п. Верхний Ландех, ул. Новая, 1А, от У-24 до ТК-4, L=36,7м, Ду125мм, канальная прокладка</v>
      </c>
      <c r="E116">
        <f>'№2 ИП ТС'!F86</f>
        <v>159</v>
      </c>
      <c r="F116">
        <f>'№2 ИП ТС'!H86</f>
        <v>7.3400000000000007E-2</v>
      </c>
      <c r="G116">
        <f t="shared" si="10"/>
        <v>1.16706E-2</v>
      </c>
      <c r="H116">
        <f>'№2 ИП ТС'!K86</f>
        <v>133</v>
      </c>
      <c r="I116">
        <f>'№2 ИП ТС'!M86</f>
        <v>7.3400000000000007E-2</v>
      </c>
      <c r="J116">
        <f t="shared" si="11"/>
        <v>9.7622000000000021E-3</v>
      </c>
      <c r="K116">
        <f t="shared" si="12"/>
        <v>-1.9083999999999976E-3</v>
      </c>
      <c r="L116" s="187">
        <f>SUM(K94:K116)</f>
        <v>-1.5884999999999996E-2</v>
      </c>
    </row>
    <row r="117" spans="3:12" ht="105" x14ac:dyDescent="0.25">
      <c r="C117" s="182">
        <v>24</v>
      </c>
      <c r="D117" s="183" t="str">
        <f>'№2 ИП ТС'!B87</f>
        <v>Реконструкция участка сети (подземной прокладки с выносом на поверхность) Д 108 мм от У-1 до У1А  L=76 м  (в 2-х трубном исчислении) в п. Верхний Ландех ул. Октябрьская</v>
      </c>
      <c r="E117" s="182">
        <f>'№2 ИП ТС'!F87</f>
        <v>108</v>
      </c>
      <c r="F117" s="182">
        <f>'№2 ИП ТС'!H87</f>
        <v>0.13200000000000001</v>
      </c>
      <c r="G117">
        <f t="shared" si="10"/>
        <v>1.4256E-2</v>
      </c>
      <c r="H117" s="182">
        <f>'№2 ИП ТС'!K87</f>
        <v>108</v>
      </c>
      <c r="I117" s="182">
        <f>'№2 ИП ТС'!M87</f>
        <v>0.152</v>
      </c>
      <c r="J117">
        <f t="shared" si="11"/>
        <v>1.6416E-2</v>
      </c>
      <c r="K117">
        <f t="shared" si="12"/>
        <v>2.1600000000000005E-3</v>
      </c>
      <c r="L117" s="188">
        <f>K117</f>
        <v>2.1600000000000005E-3</v>
      </c>
    </row>
    <row r="118" spans="3:12" ht="90" x14ac:dyDescent="0.25">
      <c r="C118">
        <v>25</v>
      </c>
      <c r="D118" s="181" t="str">
        <f>'№2 ИП ТС'!B88</f>
        <v>Реконструкция участка сети от У-3 до ул. Строителей, д. 8, Дн45 мм длиной 26 м (надземная прокладка) котельная № 3 п. Верхний Ландех</v>
      </c>
      <c r="E118">
        <f>'№2 ИП ТС'!F88</f>
        <v>76</v>
      </c>
      <c r="F118">
        <f>'№2 ИП ТС'!H88</f>
        <v>5.1999999999999998E-2</v>
      </c>
      <c r="G118">
        <f t="shared" si="10"/>
        <v>3.9519999999999998E-3</v>
      </c>
      <c r="H118">
        <f>'№2 ИП ТС'!K88</f>
        <v>45</v>
      </c>
      <c r="I118">
        <f>'№2 ИП ТС'!M88</f>
        <v>5.1999999999999998E-2</v>
      </c>
      <c r="J118">
        <f t="shared" si="11"/>
        <v>2.3400000000000001E-3</v>
      </c>
      <c r="K118">
        <f t="shared" si="12"/>
        <v>-1.6119999999999997E-3</v>
      </c>
    </row>
    <row r="119" spans="3:12" ht="105" x14ac:dyDescent="0.25">
      <c r="C119">
        <v>26</v>
      </c>
      <c r="D119" s="181" t="str">
        <f>'№2 ИП ТС'!B89</f>
        <v>Реконструкция существующего (подземного) участка тепловых сетей (с выносом на поверхность) в п. Верхний Ландех, ул. Строителей, д.24А, от ТК-10 до ТК-2, L=8,6м, Ду100, надземная прокладка</v>
      </c>
      <c r="E119">
        <f>'№2 ИП ТС'!F89</f>
        <v>159</v>
      </c>
      <c r="F119">
        <f>'№2 ИП ТС'!H89</f>
        <v>1.72E-2</v>
      </c>
      <c r="G119">
        <f t="shared" si="10"/>
        <v>2.7347999999999999E-3</v>
      </c>
      <c r="H119">
        <f>'№2 ИП ТС'!K89</f>
        <v>108</v>
      </c>
      <c r="I119">
        <f>'№2 ИП ТС'!M89</f>
        <v>1.72E-2</v>
      </c>
      <c r="J119">
        <f t="shared" si="11"/>
        <v>1.8575999999999998E-3</v>
      </c>
      <c r="K119">
        <f t="shared" si="12"/>
        <v>-8.7720000000000007E-4</v>
      </c>
    </row>
    <row r="120" spans="3:12" ht="120" x14ac:dyDescent="0.25">
      <c r="C120">
        <v>27</v>
      </c>
      <c r="D120" s="181" t="str">
        <f>'№2 ИП ТС'!B90</f>
        <v>Реконструкция участка сети (подземной прокладки с выносом на поверхность) от ТК-10 до ул. Строителей, д.10, Дн32 мм длиной 39 м (надземная прокладка) котельная № 3 п. Верхний Ландех</v>
      </c>
      <c r="E120">
        <f>'№2 ИП ТС'!F90</f>
        <v>57</v>
      </c>
      <c r="F120">
        <f>'№2 ИП ТС'!H90</f>
        <v>6.8000000000000005E-2</v>
      </c>
      <c r="G120">
        <f t="shared" si="10"/>
        <v>3.8760000000000005E-3</v>
      </c>
      <c r="H120">
        <f>'№2 ИП ТС'!K90</f>
        <v>32</v>
      </c>
      <c r="I120">
        <f>'№2 ИП ТС'!M90</f>
        <v>7.8E-2</v>
      </c>
      <c r="J120">
        <f t="shared" si="11"/>
        <v>2.496E-3</v>
      </c>
      <c r="K120">
        <f t="shared" si="12"/>
        <v>-1.3800000000000006E-3</v>
      </c>
    </row>
    <row r="121" spans="3:12" ht="105" x14ac:dyDescent="0.25">
      <c r="C121">
        <v>28</v>
      </c>
      <c r="D121" s="181" t="str">
        <f>'№2 ИП ТС'!B91</f>
        <v>Реконструкция тепловых сетей (подземной прокладки с выносом на поверхность) в п. Верхний Ландех, ул. Строителей, д.24А, от ТК-11 до ТК-10, L=17м, Ду100, надземная прокладка</v>
      </c>
      <c r="E121">
        <f>'№2 ИП ТС'!F91</f>
        <v>159</v>
      </c>
      <c r="F121">
        <f>'№2 ИП ТС'!H91</f>
        <v>2.4E-2</v>
      </c>
      <c r="G121">
        <f t="shared" si="10"/>
        <v>3.8160000000000004E-3</v>
      </c>
      <c r="H121">
        <f>'№2 ИП ТС'!K91</f>
        <v>108</v>
      </c>
      <c r="I121">
        <f>'№2 ИП ТС'!M91</f>
        <v>3.4000000000000002E-2</v>
      </c>
      <c r="J121">
        <f t="shared" si="11"/>
        <v>3.6720000000000004E-3</v>
      </c>
      <c r="K121">
        <f t="shared" si="12"/>
        <v>-1.4400000000000003E-4</v>
      </c>
    </row>
    <row r="122" spans="3:12" ht="105" x14ac:dyDescent="0.25">
      <c r="C122">
        <v>29</v>
      </c>
      <c r="D122" s="181" t="str">
        <f>'№2 ИП ТС'!B92</f>
        <v>Реконструкция тепловых сетей (подземной прокладки с выносом на поверхность) в п. Верхний Ландех, ул. Строителей, д. 24А, от ТК-11 до ТК-12, L=13м, Ду80, надземная прокладка</v>
      </c>
      <c r="E122">
        <f>'№2 ИП ТС'!F92</f>
        <v>89</v>
      </c>
      <c r="F122">
        <f>'№2 ИП ТС'!H92</f>
        <v>2.5999999999999999E-2</v>
      </c>
      <c r="G122">
        <f t="shared" si="10"/>
        <v>2.3140000000000001E-3</v>
      </c>
      <c r="H122">
        <f>'№2 ИП ТС'!K92</f>
        <v>89</v>
      </c>
      <c r="I122">
        <f>'№2 ИП ТС'!M92</f>
        <v>2.5999999999999999E-2</v>
      </c>
      <c r="J122">
        <f t="shared" si="11"/>
        <v>2.3140000000000001E-3</v>
      </c>
      <c r="K122">
        <f t="shared" si="12"/>
        <v>0</v>
      </c>
    </row>
    <row r="123" spans="3:12" ht="120" x14ac:dyDescent="0.25">
      <c r="C123">
        <v>30</v>
      </c>
      <c r="D123" s="181" t="str">
        <f>'№2 ИП ТС'!B93</f>
        <v>Реконструкция участка сети (подземной прокладки с выносом на поверхность) от ТК-12 до ул. Строителей, д.16, Ду50 мм длиной 11 м (надземная прокладка) котельная № 3 п. Верхний Ландех</v>
      </c>
      <c r="E123">
        <f>'№2 ИП ТС'!F93</f>
        <v>57</v>
      </c>
      <c r="F123">
        <f>'№2 ИП ТС'!H93</f>
        <v>2.1999999999999999E-2</v>
      </c>
      <c r="G123">
        <f t="shared" si="10"/>
        <v>1.2539999999999999E-3</v>
      </c>
      <c r="H123">
        <f>'№2 ИП ТС'!K93</f>
        <v>57</v>
      </c>
      <c r="I123">
        <f>'№2 ИП ТС'!M93</f>
        <v>2.1999999999999999E-2</v>
      </c>
      <c r="J123">
        <f t="shared" si="11"/>
        <v>1.2539999999999999E-3</v>
      </c>
      <c r="K123">
        <f t="shared" si="12"/>
        <v>0</v>
      </c>
    </row>
    <row r="124" spans="3:12" ht="105" x14ac:dyDescent="0.25">
      <c r="C124">
        <v>31</v>
      </c>
      <c r="D124" s="181" t="str">
        <f>'№2 ИП ТС'!B94</f>
        <v>Реконструкция тепловых сетей (подземной прокладки с выносом на поверхность) в п. Верхний Ландех, ул. Строителей, д. 24А , от ТК-12 до ул. Строителей, д. 15, L=107,4 м, Дн76, надземная прокладка</v>
      </c>
      <c r="E124">
        <f>'№2 ИП ТС'!F94</f>
        <v>76</v>
      </c>
      <c r="F124">
        <f>'№2 ИП ТС'!H94</f>
        <v>0.1948</v>
      </c>
      <c r="G124">
        <f t="shared" si="10"/>
        <v>1.48048E-2</v>
      </c>
      <c r="H124">
        <f>'№2 ИП ТС'!K94</f>
        <v>76</v>
      </c>
      <c r="I124">
        <f>'№2 ИП ТС'!M94</f>
        <v>0.21479999999999999</v>
      </c>
      <c r="J124">
        <f t="shared" si="11"/>
        <v>1.63248E-2</v>
      </c>
      <c r="K124">
        <f t="shared" si="12"/>
        <v>1.5200000000000005E-3</v>
      </c>
    </row>
    <row r="125" spans="3:12" ht="105" x14ac:dyDescent="0.25">
      <c r="C125">
        <v>32</v>
      </c>
      <c r="D125" s="181" t="str">
        <f>'№2 ИП ТС'!B95</f>
        <v>Реконструкция тепловых сетей (подземной прокладки с выносом на поверхность) в п. Верхний Ландех, ул. Строителей, д.24А , от ТК-4 до ТК-6, L=33,8м, Дн76, надземная прокладка</v>
      </c>
      <c r="E125">
        <f>'№2 ИП ТС'!F95</f>
        <v>76</v>
      </c>
      <c r="F125">
        <f>'№2 ИП ТС'!H95</f>
        <v>4.7600000000000003E-2</v>
      </c>
      <c r="G125">
        <f t="shared" si="10"/>
        <v>3.6176000000000003E-3</v>
      </c>
      <c r="H125">
        <f>'№2 ИП ТС'!K95</f>
        <v>76</v>
      </c>
      <c r="I125">
        <f>'№2 ИП ТС'!M95</f>
        <v>6.7599999999999993E-2</v>
      </c>
      <c r="J125">
        <f t="shared" si="11"/>
        <v>5.1375999999999991E-3</v>
      </c>
      <c r="K125">
        <f t="shared" si="12"/>
        <v>1.5199999999999988E-3</v>
      </c>
    </row>
    <row r="126" spans="3:12" ht="105" x14ac:dyDescent="0.25">
      <c r="C126">
        <v>33</v>
      </c>
      <c r="D126" s="181" t="str">
        <f>'№2 ИП ТС'!B96</f>
        <v>Реконструкция тепловых сетей (подземной прокладки с выносом на поверхность) в п. Верхний Ландех, ул. Строителей, д. 24А, от ТК-6 до У-1, L=37м, Дн76, надземная прокладка</v>
      </c>
      <c r="E126">
        <f>'№2 ИП ТС'!F96</f>
        <v>76</v>
      </c>
      <c r="F126">
        <f>'№2 ИП ТС'!H96</f>
        <v>7.3999999999999996E-2</v>
      </c>
      <c r="G126">
        <f t="shared" si="10"/>
        <v>5.6239999999999997E-3</v>
      </c>
      <c r="H126">
        <f>'№2 ИП ТС'!K96</f>
        <v>76</v>
      </c>
      <c r="I126">
        <f>'№2 ИП ТС'!M96</f>
        <v>7.3999999999999996E-2</v>
      </c>
      <c r="J126">
        <f t="shared" si="11"/>
        <v>5.6239999999999997E-3</v>
      </c>
      <c r="K126">
        <f t="shared" si="12"/>
        <v>0</v>
      </c>
    </row>
    <row r="127" spans="3:12" ht="105" x14ac:dyDescent="0.25">
      <c r="C127">
        <v>34</v>
      </c>
      <c r="D127" s="181" t="str">
        <f>'№2 ИП ТС'!B97</f>
        <v>Реконструкция тепловых сетей (подземной прокладки с выносом на поверхность) в п. Верхний Ландех,  ул. Строителей, д.24А ,от У-2 до ТК-9, L=2м, Дн76, надземная прокладка</v>
      </c>
      <c r="E127">
        <f>'№2 ИП ТС'!F97</f>
        <v>76</v>
      </c>
      <c r="F127">
        <f>'№2 ИП ТС'!H97</f>
        <v>4.0000000000000001E-3</v>
      </c>
      <c r="G127">
        <f t="shared" si="10"/>
        <v>3.0400000000000002E-4</v>
      </c>
      <c r="H127">
        <f>'№2 ИП ТС'!K97</f>
        <v>76</v>
      </c>
      <c r="I127">
        <f>'№2 ИП ТС'!M97</f>
        <v>4.0000000000000001E-3</v>
      </c>
      <c r="J127">
        <f t="shared" si="11"/>
        <v>3.0400000000000002E-4</v>
      </c>
      <c r="K127">
        <f t="shared" si="12"/>
        <v>0</v>
      </c>
    </row>
    <row r="128" spans="3:12" ht="90" x14ac:dyDescent="0.25">
      <c r="C128">
        <v>35</v>
      </c>
      <c r="D128" s="181" t="str">
        <f>'№2 ИП ТС'!B98</f>
        <v>Реконструкция участка сети от ТК-9 до У-3, Дн45 мм длиной 42 м (подземной прокладки с выносом на поверхность) котельная № 3 п. Верхний Ландех, ул. Строителей, д. 24а</v>
      </c>
      <c r="E128">
        <f>'№2 ИП ТС'!F98</f>
        <v>76</v>
      </c>
      <c r="F128">
        <f>'№2 ИП ТС'!H98</f>
        <v>5.3999999999999999E-2</v>
      </c>
      <c r="G128">
        <f t="shared" si="10"/>
        <v>4.104E-3</v>
      </c>
      <c r="H128">
        <f>'№2 ИП ТС'!K98</f>
        <v>45</v>
      </c>
      <c r="I128">
        <f>'№2 ИП ТС'!M98</f>
        <v>8.4000000000000005E-2</v>
      </c>
      <c r="J128">
        <f t="shared" si="11"/>
        <v>3.7800000000000004E-3</v>
      </c>
      <c r="K128">
        <f t="shared" si="12"/>
        <v>-3.2399999999999964E-4</v>
      </c>
    </row>
    <row r="129" spans="3:12" ht="105" x14ac:dyDescent="0.25">
      <c r="C129">
        <v>36</v>
      </c>
      <c r="D129" s="181" t="str">
        <f>'№2 ИП ТС'!B99</f>
        <v>Реконструкция тепловых сетей (подземной прокладки с выносом на поверхность) в п. Верхний Ландех, ул. Строителей, д.24А , от ТК-14 до ул. Строителей, д.20, L=16,1м, Ду80, надземная прокладка</v>
      </c>
      <c r="E129">
        <f>'№2 ИП ТС'!F99</f>
        <v>89</v>
      </c>
      <c r="F129">
        <f>'№2 ИП ТС'!H99</f>
        <v>1.2200000000000001E-2</v>
      </c>
      <c r="G129">
        <f t="shared" si="10"/>
        <v>1.0858E-3</v>
      </c>
      <c r="H129">
        <f>'№2 ИП ТС'!K99</f>
        <v>89</v>
      </c>
      <c r="I129">
        <f>'№2 ИП ТС'!M99</f>
        <v>3.2199999999999999E-2</v>
      </c>
      <c r="J129">
        <f t="shared" si="11"/>
        <v>2.8657999999999999E-3</v>
      </c>
      <c r="K129">
        <f t="shared" si="12"/>
        <v>1.7799999999999999E-3</v>
      </c>
    </row>
    <row r="130" spans="3:12" ht="105" x14ac:dyDescent="0.25">
      <c r="C130">
        <v>37</v>
      </c>
      <c r="D130" s="181" t="str">
        <f>'№2 ИП ТС'!B100</f>
        <v>Реконструкция тепловых сетей (подземной прокладки с выносом на поверхность) в п. Верхний Ландех, ул. Строителей, д.24А , от ТК-14 до ТК-15, L=37м, Ду100, надземная прокладка</v>
      </c>
      <c r="E130">
        <f>'№2 ИП ТС'!F100</f>
        <v>108</v>
      </c>
      <c r="F130">
        <f>'№2 ИП ТС'!H100</f>
        <v>5.3999999999999999E-2</v>
      </c>
      <c r="G130">
        <f t="shared" si="10"/>
        <v>5.8319999999999995E-3</v>
      </c>
      <c r="H130">
        <f>'№2 ИП ТС'!K100</f>
        <v>108</v>
      </c>
      <c r="I130">
        <f>'№2 ИП ТС'!M100</f>
        <v>7.3999999999999996E-2</v>
      </c>
      <c r="J130">
        <f t="shared" si="11"/>
        <v>7.9920000000000008E-3</v>
      </c>
      <c r="K130">
        <f t="shared" si="12"/>
        <v>2.1600000000000013E-3</v>
      </c>
    </row>
    <row r="131" spans="3:12" ht="105" x14ac:dyDescent="0.25">
      <c r="C131">
        <v>38</v>
      </c>
      <c r="D131" s="181" t="str">
        <f>'№2 ИП ТС'!B101</f>
        <v>Реконструкция тепловых сетей (подземной прокладки с выносом на поверхность) в п. Верхний Ландех, ул. Строителей, д.24А , от ТК-15 до ул. Строителей, д.22, L=23,5 м, Ду80, надземная прокладка</v>
      </c>
      <c r="E131">
        <f>'№2 ИП ТС'!F101</f>
        <v>108</v>
      </c>
      <c r="F131">
        <f>'№2 ИП ТС'!H101</f>
        <v>2.7E-2</v>
      </c>
      <c r="G131">
        <f t="shared" si="10"/>
        <v>2.9159999999999998E-3</v>
      </c>
      <c r="H131">
        <f>'№2 ИП ТС'!K101</f>
        <v>89</v>
      </c>
      <c r="I131">
        <f>'№2 ИП ТС'!M101</f>
        <v>4.7E-2</v>
      </c>
      <c r="J131">
        <f t="shared" si="11"/>
        <v>4.1830000000000001E-3</v>
      </c>
      <c r="K131">
        <f t="shared" si="12"/>
        <v>1.2670000000000003E-3</v>
      </c>
    </row>
    <row r="132" spans="3:12" ht="75" x14ac:dyDescent="0.25">
      <c r="C132">
        <v>39</v>
      </c>
      <c r="D132" s="181" t="str">
        <f>'№2 ИП ТС'!B102</f>
        <v>Реконструкция тепловых сетей в п. Верхний Ландех, ул. Строителей, д. 24А ,от ТК-15 до ул. Строителей, д. 21, L=16,3м, Ду80, надземная прокладка</v>
      </c>
      <c r="E132">
        <f>'№2 ИП ТС'!F102</f>
        <v>89</v>
      </c>
      <c r="F132">
        <f>'№2 ИП ТС'!H102</f>
        <v>3.2599999999999997E-2</v>
      </c>
      <c r="G132">
        <f t="shared" si="10"/>
        <v>2.9013999999999997E-3</v>
      </c>
      <c r="H132">
        <f>'№2 ИП ТС'!K102</f>
        <v>89</v>
      </c>
      <c r="I132">
        <f>'№2 ИП ТС'!M102</f>
        <v>3.2599999999999997E-2</v>
      </c>
      <c r="J132">
        <f t="shared" si="11"/>
        <v>2.9013999999999997E-3</v>
      </c>
      <c r="K132">
        <f t="shared" si="12"/>
        <v>0</v>
      </c>
    </row>
    <row r="133" spans="3:12" ht="105" x14ac:dyDescent="0.25">
      <c r="C133">
        <v>40</v>
      </c>
      <c r="D133" s="184" t="str">
        <f>'№2 ИП ТС'!B103</f>
        <v>Реконструкция тепловых сетей (подземной прокладки с выносом на поверхность) в п. Верхний Ландех, ул. Строителей, д.24А , от У-10А до ТК-14, L=12м, Ду100, надземная прокладка</v>
      </c>
      <c r="E133" s="185">
        <f>'№2 ИП ТС'!F103</f>
        <v>108</v>
      </c>
      <c r="F133" s="185">
        <f>'№2 ИП ТС'!H103</f>
        <v>2.4E-2</v>
      </c>
      <c r="G133">
        <f t="shared" si="10"/>
        <v>2.5920000000000001E-3</v>
      </c>
      <c r="H133" s="185">
        <f>'№2 ИП ТС'!K103</f>
        <v>108</v>
      </c>
      <c r="I133" s="185">
        <f>'№2 ИП ТС'!M103</f>
        <v>2.4E-2</v>
      </c>
      <c r="J133">
        <f t="shared" si="11"/>
        <v>2.5920000000000001E-3</v>
      </c>
      <c r="K133">
        <f t="shared" si="12"/>
        <v>0</v>
      </c>
      <c r="L133" s="186">
        <f>SUM(K118:K134)</f>
        <v>2.9418000000000018E-3</v>
      </c>
    </row>
    <row r="134" spans="3:12" ht="60" x14ac:dyDescent="0.25">
      <c r="C134">
        <v>41</v>
      </c>
      <c r="D134" s="183" t="str">
        <f>'№2 ИП ТС'!B104</f>
        <v>Реконструкция тепловых сетей в п. Верхний Ландех, от У-1 до У-2, L=11м, Ду80, надземная прокладка</v>
      </c>
      <c r="E134" s="182">
        <f>'№2 ИП ТС'!F104</f>
        <v>133</v>
      </c>
      <c r="F134" s="182">
        <f>'№2 ИП ТС'!H104</f>
        <v>2.1999999999999999E-2</v>
      </c>
      <c r="G134">
        <f t="shared" si="10"/>
        <v>2.9259999999999998E-3</v>
      </c>
      <c r="H134" s="182">
        <f>'№2 ИП ТС'!K104</f>
        <v>89</v>
      </c>
      <c r="I134" s="182">
        <f>'№2 ИП ТС'!M104</f>
        <v>2.1999999999999999E-2</v>
      </c>
      <c r="J134">
        <f t="shared" si="11"/>
        <v>1.9580000000000001E-3</v>
      </c>
      <c r="K134">
        <f t="shared" si="12"/>
        <v>-9.6799999999999968E-4</v>
      </c>
    </row>
    <row r="135" spans="3:12" ht="90" x14ac:dyDescent="0.25">
      <c r="C135">
        <v>42</v>
      </c>
      <c r="D135" s="183" t="str">
        <f>'№2 ИП ТС'!B105</f>
        <v>Реконструкция тепловых сетей (подземной прокладки с выносом на поверхность) в п. Верхний Ландех, от У-2 до У-4, L=24,5м, Ду80, надземная прокладка</v>
      </c>
      <c r="E135" s="182">
        <f>'№2 ИП ТС'!F105</f>
        <v>133</v>
      </c>
      <c r="F135" s="182">
        <f>'№2 ИП ТС'!H105</f>
        <v>2.9000000000000001E-2</v>
      </c>
      <c r="G135">
        <f t="shared" si="10"/>
        <v>3.8570000000000002E-3</v>
      </c>
      <c r="H135" s="182">
        <f>'№2 ИП ТС'!K105</f>
        <v>89</v>
      </c>
      <c r="I135" s="182">
        <f>'№2 ИП ТС'!M105</f>
        <v>4.9000000000000002E-2</v>
      </c>
      <c r="J135">
        <f t="shared" si="11"/>
        <v>4.3609999999999994E-3</v>
      </c>
      <c r="K135">
        <f t="shared" si="12"/>
        <v>5.0399999999999924E-4</v>
      </c>
      <c r="L135" s="188">
        <f>K135+K134</f>
        <v>-4.6400000000000044E-4</v>
      </c>
    </row>
    <row r="136" spans="3:12" x14ac:dyDescent="0.25">
      <c r="G136">
        <f>SUM(G94:G135)</f>
        <v>0.18731740000000002</v>
      </c>
      <c r="J136">
        <f>SUM(J94:J135)</f>
        <v>0.17703819999999998</v>
      </c>
      <c r="K136">
        <f t="shared" si="12"/>
        <v>-1.0279200000000044E-2</v>
      </c>
      <c r="L136">
        <f t="shared" si="12"/>
        <v>-1.0279200000000044E-2</v>
      </c>
    </row>
  </sheetData>
  <mergeCells count="8">
    <mergeCell ref="AF11:AF12"/>
    <mergeCell ref="AG11:AG12"/>
    <mergeCell ref="J12:K12"/>
    <mergeCell ref="S44:T44"/>
    <mergeCell ref="A71:B71"/>
    <mergeCell ref="AB11:AC12"/>
    <mergeCell ref="AD11:AD12"/>
    <mergeCell ref="AE11:AE1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S48"/>
  <sheetViews>
    <sheetView topLeftCell="E35" workbookViewId="0">
      <selection activeCell="J94" sqref="J94:J135"/>
    </sheetView>
  </sheetViews>
  <sheetFormatPr defaultColWidth="27" defaultRowHeight="15" x14ac:dyDescent="0.25"/>
  <sheetData>
    <row r="2" spans="2:6" ht="15.75" thickBot="1" x14ac:dyDescent="0.3"/>
    <row r="3" spans="2:6" ht="51.75" thickBot="1" x14ac:dyDescent="0.3">
      <c r="B3" s="13" t="s">
        <v>1</v>
      </c>
      <c r="C3" s="14" t="s">
        <v>187</v>
      </c>
      <c r="D3" s="14" t="s">
        <v>22</v>
      </c>
      <c r="E3" s="15" t="s">
        <v>423</v>
      </c>
      <c r="F3" s="15" t="s">
        <v>424</v>
      </c>
    </row>
    <row r="4" spans="2:6" ht="15.75" thickBot="1" x14ac:dyDescent="0.3">
      <c r="B4" s="16">
        <v>1</v>
      </c>
      <c r="C4" s="17">
        <v>2</v>
      </c>
      <c r="D4" s="17">
        <v>3</v>
      </c>
      <c r="E4" s="18">
        <v>4</v>
      </c>
      <c r="F4" s="17">
        <v>5</v>
      </c>
    </row>
    <row r="5" spans="2:6" ht="30.75" thickBot="1" x14ac:dyDescent="0.3">
      <c r="B5" s="19" t="s">
        <v>29</v>
      </c>
      <c r="C5" s="20" t="s">
        <v>188</v>
      </c>
      <c r="D5" s="20" t="s">
        <v>3</v>
      </c>
      <c r="E5" s="21">
        <f>E8+E6</f>
        <v>4244.5</v>
      </c>
      <c r="F5" s="21">
        <f>F8+F6</f>
        <v>4037.3999999999996</v>
      </c>
    </row>
    <row r="6" spans="2:6" ht="30.75" thickBot="1" x14ac:dyDescent="0.3">
      <c r="B6" s="19" t="s">
        <v>180</v>
      </c>
      <c r="C6" s="20" t="s">
        <v>189</v>
      </c>
      <c r="D6" s="20" t="s">
        <v>3</v>
      </c>
      <c r="E6" s="21">
        <v>624.29999999999995</v>
      </c>
      <c r="F6" s="21">
        <v>417.2</v>
      </c>
    </row>
    <row r="7" spans="2:6" ht="30.75" thickBot="1" x14ac:dyDescent="0.3">
      <c r="B7" s="19">
        <v>3</v>
      </c>
      <c r="C7" s="20" t="s">
        <v>190</v>
      </c>
      <c r="D7" s="20" t="s">
        <v>13</v>
      </c>
      <c r="E7" s="22">
        <f>E6/E5*100</f>
        <v>14.708446224525856</v>
      </c>
      <c r="F7" s="22">
        <f>F6/F5*100</f>
        <v>10.333382870163968</v>
      </c>
    </row>
    <row r="8" spans="2:6" ht="30.75" thickBot="1" x14ac:dyDescent="0.3">
      <c r="B8" s="19">
        <v>4</v>
      </c>
      <c r="C8" s="20" t="s">
        <v>191</v>
      </c>
      <c r="D8" s="20" t="s">
        <v>3</v>
      </c>
      <c r="E8" s="23">
        <v>3620.2</v>
      </c>
      <c r="F8" s="23">
        <f>E8</f>
        <v>3620.2</v>
      </c>
    </row>
    <row r="10" spans="2:6" ht="15.75" thickBot="1" x14ac:dyDescent="0.3"/>
    <row r="11" spans="2:6" ht="51.75" thickBot="1" x14ac:dyDescent="0.3">
      <c r="B11" s="13" t="s">
        <v>1</v>
      </c>
      <c r="C11" s="14" t="s">
        <v>187</v>
      </c>
      <c r="D11" s="14" t="s">
        <v>22</v>
      </c>
      <c r="E11" s="15" t="s">
        <v>425</v>
      </c>
      <c r="F11" s="15" t="s">
        <v>426</v>
      </c>
    </row>
    <row r="12" spans="2:6" ht="15.75" thickBot="1" x14ac:dyDescent="0.3">
      <c r="B12" s="16">
        <v>1</v>
      </c>
      <c r="C12" s="17">
        <v>2</v>
      </c>
      <c r="D12" s="17">
        <v>3</v>
      </c>
      <c r="E12" s="18">
        <v>4</v>
      </c>
      <c r="F12" s="17">
        <v>5</v>
      </c>
    </row>
    <row r="13" spans="2:6" ht="30.75" thickBot="1" x14ac:dyDescent="0.3">
      <c r="B13" s="19" t="s">
        <v>29</v>
      </c>
      <c r="C13" s="20" t="s">
        <v>188</v>
      </c>
      <c r="D13" s="20" t="s">
        <v>3</v>
      </c>
      <c r="E13" s="21">
        <f>E16+E14</f>
        <v>601.6</v>
      </c>
      <c r="F13" s="21">
        <f>F16+F14</f>
        <v>518.6</v>
      </c>
    </row>
    <row r="14" spans="2:6" ht="30.75" thickBot="1" x14ac:dyDescent="0.3">
      <c r="B14" s="19" t="s">
        <v>180</v>
      </c>
      <c r="C14" s="20" t="s">
        <v>189</v>
      </c>
      <c r="D14" s="20" t="s">
        <v>3</v>
      </c>
      <c r="E14" s="21">
        <v>117.9</v>
      </c>
      <c r="F14" s="21">
        <v>34.9</v>
      </c>
    </row>
    <row r="15" spans="2:6" ht="30.75" thickBot="1" x14ac:dyDescent="0.3">
      <c r="B15" s="19">
        <v>3</v>
      </c>
      <c r="C15" s="20" t="s">
        <v>190</v>
      </c>
      <c r="D15" s="20" t="s">
        <v>13</v>
      </c>
      <c r="E15" s="22">
        <f>E14/E13*100</f>
        <v>19.597739361702125</v>
      </c>
      <c r="F15" s="22">
        <f>F14/F13*100</f>
        <v>6.7296567682221369</v>
      </c>
    </row>
    <row r="16" spans="2:6" ht="30.75" thickBot="1" x14ac:dyDescent="0.3">
      <c r="B16" s="19">
        <v>4</v>
      </c>
      <c r="C16" s="20" t="s">
        <v>191</v>
      </c>
      <c r="D16" s="20" t="s">
        <v>3</v>
      </c>
      <c r="E16" s="23">
        <v>483.7</v>
      </c>
      <c r="F16" s="23">
        <f>E16</f>
        <v>483.7</v>
      </c>
    </row>
    <row r="18" spans="2:6" ht="15.75" thickBot="1" x14ac:dyDescent="0.3"/>
    <row r="19" spans="2:6" ht="51.75" thickBot="1" x14ac:dyDescent="0.3">
      <c r="B19" s="13" t="s">
        <v>1</v>
      </c>
      <c r="C19" s="14" t="s">
        <v>187</v>
      </c>
      <c r="D19" s="14" t="s">
        <v>22</v>
      </c>
      <c r="E19" s="15" t="s">
        <v>427</v>
      </c>
      <c r="F19" s="15" t="s">
        <v>428</v>
      </c>
    </row>
    <row r="20" spans="2:6" ht="15.75" thickBot="1" x14ac:dyDescent="0.3">
      <c r="B20" s="16">
        <v>1</v>
      </c>
      <c r="C20" s="17">
        <v>2</v>
      </c>
      <c r="D20" s="17">
        <v>3</v>
      </c>
      <c r="E20" s="18">
        <v>4</v>
      </c>
      <c r="F20" s="17">
        <v>5</v>
      </c>
    </row>
    <row r="21" spans="2:6" ht="30.75" thickBot="1" x14ac:dyDescent="0.3">
      <c r="B21" s="19" t="s">
        <v>29</v>
      </c>
      <c r="C21" s="20" t="s">
        <v>188</v>
      </c>
      <c r="D21" s="20" t="s">
        <v>3</v>
      </c>
      <c r="E21" s="21">
        <f>E24+E22</f>
        <v>2679.2</v>
      </c>
      <c r="F21" s="21">
        <f>F24+F22</f>
        <v>2538</v>
      </c>
    </row>
    <row r="22" spans="2:6" ht="30.75" thickBot="1" x14ac:dyDescent="0.3">
      <c r="B22" s="19" t="s">
        <v>180</v>
      </c>
      <c r="C22" s="20" t="s">
        <v>189</v>
      </c>
      <c r="D22" s="20" t="s">
        <v>3</v>
      </c>
      <c r="E22" s="21">
        <v>421.5</v>
      </c>
      <c r="F22" s="21">
        <v>280.3</v>
      </c>
    </row>
    <row r="23" spans="2:6" ht="30.75" thickBot="1" x14ac:dyDescent="0.3">
      <c r="B23" s="19">
        <v>3</v>
      </c>
      <c r="C23" s="20" t="s">
        <v>190</v>
      </c>
      <c r="D23" s="20" t="s">
        <v>13</v>
      </c>
      <c r="E23" s="22">
        <f>E22/E21*100</f>
        <v>15.732308151687072</v>
      </c>
      <c r="F23" s="22">
        <f>F22/F21*100</f>
        <v>11.044129235618598</v>
      </c>
    </row>
    <row r="24" spans="2:6" ht="30.75" thickBot="1" x14ac:dyDescent="0.3">
      <c r="B24" s="19">
        <v>4</v>
      </c>
      <c r="C24" s="20" t="s">
        <v>191</v>
      </c>
      <c r="D24" s="20" t="s">
        <v>3</v>
      </c>
      <c r="E24" s="23">
        <v>2257.6999999999998</v>
      </c>
      <c r="F24" s="23">
        <f>E24</f>
        <v>2257.6999999999998</v>
      </c>
    </row>
    <row r="26" spans="2:6" ht="15.75" thickBot="1" x14ac:dyDescent="0.3"/>
    <row r="27" spans="2:6" ht="51.75" thickBot="1" x14ac:dyDescent="0.3">
      <c r="B27" s="13" t="s">
        <v>1</v>
      </c>
      <c r="C27" s="14" t="s">
        <v>187</v>
      </c>
      <c r="D27" s="14" t="s">
        <v>22</v>
      </c>
      <c r="E27" s="15" t="s">
        <v>429</v>
      </c>
      <c r="F27" s="15" t="s">
        <v>430</v>
      </c>
    </row>
    <row r="28" spans="2:6" ht="15.75" thickBot="1" x14ac:dyDescent="0.3">
      <c r="B28" s="16">
        <v>1</v>
      </c>
      <c r="C28" s="17">
        <v>2</v>
      </c>
      <c r="D28" s="17">
        <v>3</v>
      </c>
      <c r="E28" s="18">
        <v>4</v>
      </c>
      <c r="F28" s="17">
        <v>5</v>
      </c>
    </row>
    <row r="29" spans="2:6" ht="30.75" thickBot="1" x14ac:dyDescent="0.3">
      <c r="B29" s="19" t="s">
        <v>29</v>
      </c>
      <c r="C29" s="20" t="s">
        <v>188</v>
      </c>
      <c r="D29" s="20" t="s">
        <v>3</v>
      </c>
      <c r="E29" s="21">
        <f>E32+E30</f>
        <v>667</v>
      </c>
      <c r="F29" s="21">
        <f>F32+F30</f>
        <v>591.9</v>
      </c>
    </row>
    <row r="30" spans="2:6" ht="30.75" thickBot="1" x14ac:dyDescent="0.3">
      <c r="B30" s="19" t="s">
        <v>180</v>
      </c>
      <c r="C30" s="20" t="s">
        <v>189</v>
      </c>
      <c r="D30" s="20" t="s">
        <v>3</v>
      </c>
      <c r="E30" s="21">
        <v>93.6</v>
      </c>
      <c r="F30" s="21">
        <v>18.5</v>
      </c>
    </row>
    <row r="31" spans="2:6" ht="30.75" thickBot="1" x14ac:dyDescent="0.3">
      <c r="B31" s="19">
        <v>3</v>
      </c>
      <c r="C31" s="20" t="s">
        <v>190</v>
      </c>
      <c r="D31" s="20" t="s">
        <v>13</v>
      </c>
      <c r="E31" s="22">
        <f>E30/E29*100</f>
        <v>14.032983508245877</v>
      </c>
      <c r="F31" s="22">
        <f>F30/F29*100</f>
        <v>3.1255279608041899</v>
      </c>
    </row>
    <row r="32" spans="2:6" ht="30.75" thickBot="1" x14ac:dyDescent="0.3">
      <c r="B32" s="19">
        <v>4</v>
      </c>
      <c r="C32" s="20" t="s">
        <v>191</v>
      </c>
      <c r="D32" s="20" t="s">
        <v>3</v>
      </c>
      <c r="E32" s="23">
        <v>573.4</v>
      </c>
      <c r="F32" s="23">
        <f>E32</f>
        <v>573.4</v>
      </c>
    </row>
    <row r="35" spans="2:19" ht="15.75" thickBot="1" x14ac:dyDescent="0.3"/>
    <row r="36" spans="2:19" ht="51.75" thickBot="1" x14ac:dyDescent="0.3">
      <c r="B36" s="13" t="s">
        <v>1</v>
      </c>
      <c r="C36" s="14" t="s">
        <v>187</v>
      </c>
      <c r="D36" s="14" t="s">
        <v>22</v>
      </c>
      <c r="E36" s="15" t="s">
        <v>429</v>
      </c>
      <c r="F36" s="15" t="s">
        <v>430</v>
      </c>
    </row>
    <row r="37" spans="2:19" ht="15.75" thickBot="1" x14ac:dyDescent="0.3">
      <c r="B37" s="16">
        <v>1</v>
      </c>
      <c r="C37" s="17">
        <v>2</v>
      </c>
      <c r="D37" s="17">
        <v>3</v>
      </c>
      <c r="E37" s="18">
        <v>4</v>
      </c>
      <c r="F37" s="17">
        <v>5</v>
      </c>
    </row>
    <row r="38" spans="2:19" ht="30.75" thickBot="1" x14ac:dyDescent="0.3">
      <c r="B38" s="19" t="s">
        <v>29</v>
      </c>
      <c r="C38" s="20" t="s">
        <v>188</v>
      </c>
      <c r="D38" s="20" t="s">
        <v>3</v>
      </c>
      <c r="E38" s="21">
        <f>E41+E39</f>
        <v>8192.2999999999993</v>
      </c>
      <c r="F38" s="21">
        <f>F41+F39</f>
        <v>7685.8999999999987</v>
      </c>
    </row>
    <row r="39" spans="2:19" ht="30.75" thickBot="1" x14ac:dyDescent="0.3">
      <c r="B39" s="19" t="s">
        <v>180</v>
      </c>
      <c r="C39" s="20" t="s">
        <v>189</v>
      </c>
      <c r="D39" s="20" t="s">
        <v>3</v>
      </c>
      <c r="E39" s="23">
        <f>E6+E14+E22+E30</f>
        <v>1257.2999999999997</v>
      </c>
      <c r="F39" s="23">
        <f>F6+F14+F22+F30</f>
        <v>750.9</v>
      </c>
    </row>
    <row r="40" spans="2:19" ht="30.75" thickBot="1" x14ac:dyDescent="0.3">
      <c r="B40" s="19">
        <v>3</v>
      </c>
      <c r="C40" s="20" t="s">
        <v>190</v>
      </c>
      <c r="D40" s="20" t="s">
        <v>13</v>
      </c>
      <c r="E40" s="22">
        <f>E39/E38*100</f>
        <v>15.347338354308313</v>
      </c>
      <c r="F40" s="22">
        <f>F39/F38*100</f>
        <v>9.7698382752833126</v>
      </c>
    </row>
    <row r="41" spans="2:19" ht="30.75" thickBot="1" x14ac:dyDescent="0.3">
      <c r="B41" s="19">
        <v>4</v>
      </c>
      <c r="C41" s="20" t="s">
        <v>191</v>
      </c>
      <c r="D41" s="20" t="s">
        <v>3</v>
      </c>
      <c r="E41" s="23">
        <f>E8+E16+E24+E32</f>
        <v>6934.9999999999991</v>
      </c>
      <c r="F41" s="23">
        <f>F8+F16+F24+F32</f>
        <v>6934.9999999999991</v>
      </c>
    </row>
    <row r="44" spans="2:19" x14ac:dyDescent="0.25">
      <c r="E44">
        <v>2024</v>
      </c>
      <c r="F44">
        <f>E44+1</f>
        <v>2025</v>
      </c>
      <c r="G44">
        <f t="shared" ref="G44:S44" si="0">F44+1</f>
        <v>2026</v>
      </c>
      <c r="H44">
        <f t="shared" si="0"/>
        <v>2027</v>
      </c>
      <c r="I44">
        <f t="shared" si="0"/>
        <v>2028</v>
      </c>
      <c r="J44">
        <f t="shared" si="0"/>
        <v>2029</v>
      </c>
      <c r="K44">
        <f t="shared" si="0"/>
        <v>2030</v>
      </c>
      <c r="L44">
        <f t="shared" si="0"/>
        <v>2031</v>
      </c>
      <c r="M44">
        <f t="shared" si="0"/>
        <v>2032</v>
      </c>
      <c r="N44">
        <f t="shared" si="0"/>
        <v>2033</v>
      </c>
      <c r="O44">
        <f t="shared" si="0"/>
        <v>2034</v>
      </c>
      <c r="P44">
        <f t="shared" si="0"/>
        <v>2035</v>
      </c>
      <c r="Q44">
        <f t="shared" si="0"/>
        <v>2036</v>
      </c>
      <c r="R44">
        <f t="shared" si="0"/>
        <v>2037</v>
      </c>
      <c r="S44">
        <f t="shared" si="0"/>
        <v>2038</v>
      </c>
    </row>
    <row r="45" spans="2:19" x14ac:dyDescent="0.25">
      <c r="E45" s="177">
        <f>'№3 ИП-ТС'!F27</f>
        <v>1257.2999999999997</v>
      </c>
      <c r="F45" s="177">
        <f>'№3 ИП-ТС'!G27</f>
        <v>1257.2999999999997</v>
      </c>
      <c r="G45" s="177">
        <f>'№3 ИП-ТС'!H27</f>
        <v>940.7</v>
      </c>
      <c r="H45" s="177">
        <f>'№3 ИП-ТС'!I27</f>
        <v>810.59999999999991</v>
      </c>
      <c r="I45" s="177">
        <f>'№3 ИП-ТС'!J27</f>
        <v>750.9</v>
      </c>
      <c r="J45" s="177">
        <f>I45</f>
        <v>750.9</v>
      </c>
    </row>
    <row r="46" spans="2:19" x14ac:dyDescent="0.25">
      <c r="E46" s="177">
        <f>E41</f>
        <v>6934.9999999999991</v>
      </c>
      <c r="F46" s="177">
        <f>E46</f>
        <v>6934.9999999999991</v>
      </c>
      <c r="G46" s="177">
        <f t="shared" ref="G46:S46" si="1">F46</f>
        <v>6934.9999999999991</v>
      </c>
      <c r="H46" s="177">
        <f t="shared" si="1"/>
        <v>6934.9999999999991</v>
      </c>
      <c r="I46" s="177">
        <f t="shared" si="1"/>
        <v>6934.9999999999991</v>
      </c>
      <c r="J46" s="177">
        <f t="shared" si="1"/>
        <v>6934.9999999999991</v>
      </c>
      <c r="K46" s="177">
        <f t="shared" si="1"/>
        <v>6934.9999999999991</v>
      </c>
      <c r="L46" s="177">
        <f t="shared" si="1"/>
        <v>6934.9999999999991</v>
      </c>
      <c r="M46" s="177">
        <f t="shared" si="1"/>
        <v>6934.9999999999991</v>
      </c>
      <c r="N46" s="177">
        <f t="shared" si="1"/>
        <v>6934.9999999999991</v>
      </c>
      <c r="O46" s="177">
        <f t="shared" si="1"/>
        <v>6934.9999999999991</v>
      </c>
      <c r="P46" s="177">
        <f t="shared" si="1"/>
        <v>6934.9999999999991</v>
      </c>
      <c r="Q46" s="177">
        <f t="shared" si="1"/>
        <v>6934.9999999999991</v>
      </c>
      <c r="R46" s="177">
        <f t="shared" si="1"/>
        <v>6934.9999999999991</v>
      </c>
      <c r="S46" s="177">
        <f t="shared" si="1"/>
        <v>6934.9999999999991</v>
      </c>
    </row>
    <row r="47" spans="2:19" x14ac:dyDescent="0.25">
      <c r="E47" s="177">
        <f>E45+E46</f>
        <v>8192.2999999999993</v>
      </c>
      <c r="F47" s="177">
        <f t="shared" ref="F47:K47" si="2">F45+F46</f>
        <v>8192.2999999999993</v>
      </c>
      <c r="G47" s="177">
        <f t="shared" si="2"/>
        <v>7875.6999999999989</v>
      </c>
      <c r="H47" s="177">
        <f t="shared" si="2"/>
        <v>7745.5999999999985</v>
      </c>
      <c r="I47" s="177">
        <f t="shared" si="2"/>
        <v>7685.8999999999987</v>
      </c>
      <c r="J47" s="177">
        <f t="shared" si="2"/>
        <v>7685.8999999999987</v>
      </c>
      <c r="K47" s="177">
        <f t="shared" si="2"/>
        <v>6934.9999999999991</v>
      </c>
    </row>
    <row r="48" spans="2:19" x14ac:dyDescent="0.25">
      <c r="E48" s="177">
        <f>E45/E47*100</f>
        <v>15.347338354308313</v>
      </c>
      <c r="F48" s="177">
        <f t="shared" ref="F48:J48" si="3">F45/F47*100</f>
        <v>15.347338354308313</v>
      </c>
      <c r="G48" s="177">
        <f t="shared" si="3"/>
        <v>11.944335106720674</v>
      </c>
      <c r="H48" s="177">
        <f t="shared" si="3"/>
        <v>10.46529642635819</v>
      </c>
      <c r="I48" s="177">
        <f t="shared" si="3"/>
        <v>9.7698382752833126</v>
      </c>
      <c r="J48" s="177">
        <f t="shared" si="3"/>
        <v>9.7698382752833126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F107"/>
  <sheetViews>
    <sheetView topLeftCell="C1" workbookViewId="0">
      <selection activeCell="J94" sqref="J94:J135"/>
    </sheetView>
  </sheetViews>
  <sheetFormatPr defaultRowHeight="15" x14ac:dyDescent="0.25"/>
  <cols>
    <col min="1" max="1" width="13" customWidth="1"/>
    <col min="2" max="2" width="28.42578125" customWidth="1"/>
    <col min="3" max="3" width="21" customWidth="1"/>
    <col min="4" max="31" width="9.28515625" bestFit="1" customWidth="1"/>
    <col min="32" max="32" width="9.42578125" bestFit="1" customWidth="1"/>
  </cols>
  <sheetData>
    <row r="2" spans="1:32" ht="15.75" thickBot="1" x14ac:dyDescent="0.3"/>
    <row r="3" spans="1:32" ht="15.75" thickBot="1" x14ac:dyDescent="0.3">
      <c r="A3" s="497" t="s">
        <v>1</v>
      </c>
      <c r="B3" s="506" t="s">
        <v>809</v>
      </c>
      <c r="C3" s="509" t="s">
        <v>57</v>
      </c>
      <c r="D3" s="500" t="s">
        <v>810</v>
      </c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  <c r="V3" s="501"/>
      <c r="W3" s="501"/>
      <c r="X3" s="501"/>
      <c r="Y3" s="501"/>
      <c r="Z3" s="501"/>
      <c r="AA3" s="501"/>
      <c r="AB3" s="501"/>
      <c r="AC3" s="501"/>
      <c r="AD3" s="501"/>
      <c r="AE3" s="502"/>
      <c r="AF3" s="195" t="s">
        <v>811</v>
      </c>
    </row>
    <row r="4" spans="1:32" ht="25.5" thickBot="1" x14ac:dyDescent="0.3">
      <c r="A4" s="498"/>
      <c r="B4" s="507"/>
      <c r="C4" s="510"/>
      <c r="D4" s="492" t="s">
        <v>812</v>
      </c>
      <c r="E4" s="493"/>
      <c r="F4" s="493"/>
      <c r="G4" s="494"/>
      <c r="H4" s="503" t="s">
        <v>813</v>
      </c>
      <c r="I4" s="504"/>
      <c r="J4" s="504"/>
      <c r="K4" s="505"/>
      <c r="L4" s="503" t="s">
        <v>814</v>
      </c>
      <c r="M4" s="504"/>
      <c r="N4" s="504"/>
      <c r="O4" s="505"/>
      <c r="P4" s="503" t="s">
        <v>815</v>
      </c>
      <c r="Q4" s="504"/>
      <c r="R4" s="504"/>
      <c r="S4" s="505"/>
      <c r="T4" s="492" t="s">
        <v>816</v>
      </c>
      <c r="U4" s="493"/>
      <c r="V4" s="493"/>
      <c r="W4" s="494"/>
      <c r="X4" s="492" t="s">
        <v>817</v>
      </c>
      <c r="Y4" s="493"/>
      <c r="Z4" s="493"/>
      <c r="AA4" s="494"/>
      <c r="AB4" s="492" t="s">
        <v>818</v>
      </c>
      <c r="AC4" s="493"/>
      <c r="AD4" s="493"/>
      <c r="AE4" s="494"/>
      <c r="AF4" s="196" t="s">
        <v>855</v>
      </c>
    </row>
    <row r="5" spans="1:32" ht="44.25" thickBot="1" x14ac:dyDescent="0.3">
      <c r="A5" s="499"/>
      <c r="B5" s="508"/>
      <c r="C5" s="511"/>
      <c r="D5" s="198" t="s">
        <v>819</v>
      </c>
      <c r="E5" s="198" t="s">
        <v>820</v>
      </c>
      <c r="F5" s="198" t="s">
        <v>821</v>
      </c>
      <c r="G5" s="198" t="s">
        <v>822</v>
      </c>
      <c r="H5" s="199" t="s">
        <v>819</v>
      </c>
      <c r="I5" s="199" t="s">
        <v>820</v>
      </c>
      <c r="J5" s="199" t="s">
        <v>821</v>
      </c>
      <c r="K5" s="199" t="s">
        <v>822</v>
      </c>
      <c r="L5" s="199" t="s">
        <v>819</v>
      </c>
      <c r="M5" s="199" t="s">
        <v>820</v>
      </c>
      <c r="N5" s="199" t="s">
        <v>821</v>
      </c>
      <c r="O5" s="199" t="s">
        <v>822</v>
      </c>
      <c r="P5" s="199" t="s">
        <v>819</v>
      </c>
      <c r="Q5" s="199" t="s">
        <v>820</v>
      </c>
      <c r="R5" s="199" t="s">
        <v>821</v>
      </c>
      <c r="S5" s="199" t="s">
        <v>822</v>
      </c>
      <c r="T5" s="198" t="s">
        <v>819</v>
      </c>
      <c r="U5" s="198" t="s">
        <v>820</v>
      </c>
      <c r="V5" s="198" t="s">
        <v>821</v>
      </c>
      <c r="W5" s="198" t="s">
        <v>822</v>
      </c>
      <c r="X5" s="198" t="s">
        <v>819</v>
      </c>
      <c r="Y5" s="198" t="s">
        <v>820</v>
      </c>
      <c r="Z5" s="198" t="s">
        <v>821</v>
      </c>
      <c r="AA5" s="198" t="s">
        <v>822</v>
      </c>
      <c r="AB5" s="198" t="s">
        <v>819</v>
      </c>
      <c r="AC5" s="198" t="s">
        <v>820</v>
      </c>
      <c r="AD5" s="198" t="s">
        <v>821</v>
      </c>
      <c r="AE5" s="198" t="s">
        <v>822</v>
      </c>
      <c r="AF5" s="197"/>
    </row>
    <row r="6" spans="1:32" ht="51.75" thickBot="1" x14ac:dyDescent="0.3">
      <c r="A6" s="200">
        <v>1</v>
      </c>
      <c r="B6" s="201" t="str">
        <f>'№2 ИП ТС'!B31</f>
        <v>Строительство БМК мощностью 2,5 МВт в п. Верхний Ландех, в районе д. 1А по ул. Новая</v>
      </c>
      <c r="C6" s="201" t="str">
        <f>'№2 ИП ТС'!E31</f>
        <v>п. Верхний Ландех, в районе д. 1А по ул. Новая на земельном участке: 37:01:020304:23</v>
      </c>
      <c r="D6" s="271">
        <v>0</v>
      </c>
      <c r="E6" s="271">
        <v>0</v>
      </c>
      <c r="F6" s="271">
        <v>0</v>
      </c>
      <c r="G6" s="271">
        <v>0</v>
      </c>
      <c r="H6" s="272">
        <v>0</v>
      </c>
      <c r="I6" s="272">
        <v>0</v>
      </c>
      <c r="J6" s="272">
        <v>0</v>
      </c>
      <c r="K6" s="272">
        <f>'№2 ИП ТС'!R31</f>
        <v>27490.277999999998</v>
      </c>
      <c r="L6" s="271">
        <v>0</v>
      </c>
      <c r="M6" s="271">
        <v>0</v>
      </c>
      <c r="N6" s="271">
        <v>0</v>
      </c>
      <c r="O6" s="271">
        <v>0</v>
      </c>
      <c r="P6" s="271">
        <v>0</v>
      </c>
      <c r="Q6" s="271">
        <v>0</v>
      </c>
      <c r="R6" s="271">
        <v>0</v>
      </c>
      <c r="S6" s="271">
        <v>0</v>
      </c>
      <c r="T6" s="271">
        <v>0</v>
      </c>
      <c r="U6" s="271">
        <v>0</v>
      </c>
      <c r="V6" s="271">
        <v>0</v>
      </c>
      <c r="W6" s="271">
        <v>0</v>
      </c>
      <c r="X6" s="271">
        <v>0</v>
      </c>
      <c r="Y6" s="271">
        <v>0</v>
      </c>
      <c r="Z6" s="271">
        <v>0</v>
      </c>
      <c r="AA6" s="271">
        <v>0</v>
      </c>
      <c r="AB6" s="271">
        <v>0</v>
      </c>
      <c r="AC6" s="271">
        <v>0</v>
      </c>
      <c r="AD6" s="271">
        <v>0</v>
      </c>
      <c r="AE6" s="271">
        <v>0</v>
      </c>
      <c r="AF6" s="273">
        <f>SUM(D6:AE6)</f>
        <v>27490.277999999998</v>
      </c>
    </row>
    <row r="7" spans="1:32" ht="51.75" thickBot="1" x14ac:dyDescent="0.3">
      <c r="A7" s="200">
        <v>2</v>
      </c>
      <c r="B7" s="201" t="str">
        <f>'№2 ИП ТС'!B32</f>
        <v>Строительство сетей газоснабжения в п. Верхний Ландех, в районе д. 1А по ул. Новая</v>
      </c>
      <c r="C7" s="201" t="str">
        <f>'№2 ИП ТС'!E32</f>
        <v>п. Верхний Ландех, в районе д. 1А по ул. Новая</v>
      </c>
      <c r="D7" s="271">
        <v>0</v>
      </c>
      <c r="E7" s="271">
        <v>0</v>
      </c>
      <c r="F7" s="271">
        <v>0</v>
      </c>
      <c r="G7" s="271">
        <v>0</v>
      </c>
      <c r="H7" s="272">
        <v>0</v>
      </c>
      <c r="I7" s="272">
        <v>0</v>
      </c>
      <c r="J7" s="272">
        <v>0</v>
      </c>
      <c r="K7" s="272">
        <f>'№2 ИП ТС'!R32</f>
        <v>261.08300000000003</v>
      </c>
      <c r="L7" s="271">
        <v>0</v>
      </c>
      <c r="M7" s="271">
        <v>0</v>
      </c>
      <c r="N7" s="271">
        <v>0</v>
      </c>
      <c r="O7" s="271">
        <v>0</v>
      </c>
      <c r="P7" s="271">
        <v>0</v>
      </c>
      <c r="Q7" s="271">
        <v>0</v>
      </c>
      <c r="R7" s="271">
        <v>0</v>
      </c>
      <c r="S7" s="271">
        <v>0</v>
      </c>
      <c r="T7" s="271">
        <v>0</v>
      </c>
      <c r="U7" s="271">
        <v>0</v>
      </c>
      <c r="V7" s="271">
        <v>0</v>
      </c>
      <c r="W7" s="271">
        <v>0</v>
      </c>
      <c r="X7" s="271">
        <v>0</v>
      </c>
      <c r="Y7" s="271">
        <v>0</v>
      </c>
      <c r="Z7" s="271">
        <v>0</v>
      </c>
      <c r="AA7" s="271">
        <v>0</v>
      </c>
      <c r="AB7" s="271">
        <v>0</v>
      </c>
      <c r="AC7" s="271">
        <v>0</v>
      </c>
      <c r="AD7" s="271">
        <v>0</v>
      </c>
      <c r="AE7" s="271">
        <v>0</v>
      </c>
      <c r="AF7" s="273">
        <f t="shared" ref="AF7:AF70" si="0">SUM(D7:AE7)</f>
        <v>261.08300000000003</v>
      </c>
    </row>
    <row r="8" spans="1:32" ht="51.75" thickBot="1" x14ac:dyDescent="0.3">
      <c r="A8" s="200">
        <v>3</v>
      </c>
      <c r="B8" s="201" t="str">
        <f>'№2 ИП ТС'!B33</f>
        <v>Строительство ГРПШ пропускной способностью 250 м3/час  в п. Верхний Ландех, в районе д. 1А по ул. Новая</v>
      </c>
      <c r="C8" s="201" t="str">
        <f>'№2 ИП ТС'!E33</f>
        <v>п. Верхний Ландех, в районе д. 1А по ул. Новая</v>
      </c>
      <c r="D8" s="271">
        <v>0</v>
      </c>
      <c r="E8" s="271">
        <v>0</v>
      </c>
      <c r="F8" s="271">
        <v>0</v>
      </c>
      <c r="G8" s="271">
        <v>0</v>
      </c>
      <c r="H8" s="272">
        <v>0</v>
      </c>
      <c r="I8" s="272">
        <v>0</v>
      </c>
      <c r="J8" s="272">
        <v>0</v>
      </c>
      <c r="K8" s="272">
        <f>'№2 ИП ТС'!R33</f>
        <v>278.892</v>
      </c>
      <c r="L8" s="271">
        <v>0</v>
      </c>
      <c r="M8" s="271">
        <v>0</v>
      </c>
      <c r="N8" s="271">
        <v>0</v>
      </c>
      <c r="O8" s="271">
        <v>0</v>
      </c>
      <c r="P8" s="271">
        <v>0</v>
      </c>
      <c r="Q8" s="271">
        <v>0</v>
      </c>
      <c r="R8" s="271">
        <v>0</v>
      </c>
      <c r="S8" s="271">
        <v>0</v>
      </c>
      <c r="T8" s="271">
        <v>0</v>
      </c>
      <c r="U8" s="271">
        <v>0</v>
      </c>
      <c r="V8" s="271">
        <v>0</v>
      </c>
      <c r="W8" s="271">
        <v>0</v>
      </c>
      <c r="X8" s="271">
        <v>0</v>
      </c>
      <c r="Y8" s="271">
        <v>0</v>
      </c>
      <c r="Z8" s="271">
        <v>0</v>
      </c>
      <c r="AA8" s="271">
        <v>0</v>
      </c>
      <c r="AB8" s="271">
        <v>0</v>
      </c>
      <c r="AC8" s="271">
        <v>0</v>
      </c>
      <c r="AD8" s="271">
        <v>0</v>
      </c>
      <c r="AE8" s="271">
        <v>0</v>
      </c>
      <c r="AF8" s="273">
        <f t="shared" si="0"/>
        <v>278.892</v>
      </c>
    </row>
    <row r="9" spans="1:32" ht="51.75" thickBot="1" x14ac:dyDescent="0.3">
      <c r="A9" s="200">
        <v>4</v>
      </c>
      <c r="B9" s="201" t="str">
        <f>'№2 ИП ТС'!B34</f>
        <v>Строительство сетей водоснабжения в п. Верхний Ландех, в районе д. 1А по ул. Новая</v>
      </c>
      <c r="C9" s="201" t="str">
        <f>'№2 ИП ТС'!E34</f>
        <v>п. Верхний Ландех, в районе д. 1А по ул. Новая</v>
      </c>
      <c r="D9" s="271">
        <v>0</v>
      </c>
      <c r="E9" s="271">
        <v>0</v>
      </c>
      <c r="F9" s="271">
        <v>0</v>
      </c>
      <c r="G9" s="271">
        <v>0</v>
      </c>
      <c r="H9" s="272">
        <v>0</v>
      </c>
      <c r="I9" s="272">
        <v>0</v>
      </c>
      <c r="J9" s="272">
        <v>0</v>
      </c>
      <c r="K9" s="272">
        <f>'№2 ИП ТС'!R34</f>
        <v>421.30599999999998</v>
      </c>
      <c r="L9" s="271">
        <v>0</v>
      </c>
      <c r="M9" s="271">
        <v>0</v>
      </c>
      <c r="N9" s="271">
        <v>0</v>
      </c>
      <c r="O9" s="271">
        <v>0</v>
      </c>
      <c r="P9" s="271">
        <v>0</v>
      </c>
      <c r="Q9" s="271">
        <v>0</v>
      </c>
      <c r="R9" s="271">
        <v>0</v>
      </c>
      <c r="S9" s="271">
        <v>0</v>
      </c>
      <c r="T9" s="271">
        <v>0</v>
      </c>
      <c r="U9" s="271">
        <v>0</v>
      </c>
      <c r="V9" s="271">
        <v>0</v>
      </c>
      <c r="W9" s="271">
        <v>0</v>
      </c>
      <c r="X9" s="271">
        <v>0</v>
      </c>
      <c r="Y9" s="271">
        <v>0</v>
      </c>
      <c r="Z9" s="271">
        <v>0</v>
      </c>
      <c r="AA9" s="271">
        <v>0</v>
      </c>
      <c r="AB9" s="271">
        <v>0</v>
      </c>
      <c r="AC9" s="271">
        <v>0</v>
      </c>
      <c r="AD9" s="271">
        <v>0</v>
      </c>
      <c r="AE9" s="271">
        <v>0</v>
      </c>
      <c r="AF9" s="273">
        <f t="shared" si="0"/>
        <v>421.30599999999998</v>
      </c>
    </row>
    <row r="10" spans="1:32" ht="51.75" thickBot="1" x14ac:dyDescent="0.3">
      <c r="A10" s="200">
        <v>5</v>
      </c>
      <c r="B10" s="201" t="str">
        <f>'№2 ИП ТС'!B35</f>
        <v xml:space="preserve"> Строительство сетей водоотведения в п. Верхний Ландех, в районе д. 1А по ул. Новая</v>
      </c>
      <c r="C10" s="201" t="str">
        <f>'№2 ИП ТС'!E35</f>
        <v>п. Верхний Ландех, в районе д. 1А по ул. Новая</v>
      </c>
      <c r="D10" s="271">
        <v>0</v>
      </c>
      <c r="E10" s="271">
        <v>0</v>
      </c>
      <c r="F10" s="271">
        <v>0</v>
      </c>
      <c r="G10" s="271">
        <v>0</v>
      </c>
      <c r="H10" s="272">
        <v>0</v>
      </c>
      <c r="I10" s="272">
        <v>0</v>
      </c>
      <c r="J10" s="272">
        <v>0</v>
      </c>
      <c r="K10" s="272">
        <f>'№2 ИП ТС'!R35</f>
        <v>443.54</v>
      </c>
      <c r="L10" s="271">
        <v>0</v>
      </c>
      <c r="M10" s="271">
        <v>0</v>
      </c>
      <c r="N10" s="271">
        <v>0</v>
      </c>
      <c r="O10" s="271">
        <v>0</v>
      </c>
      <c r="P10" s="271">
        <v>0</v>
      </c>
      <c r="Q10" s="271">
        <v>0</v>
      </c>
      <c r="R10" s="271">
        <v>0</v>
      </c>
      <c r="S10" s="271">
        <v>0</v>
      </c>
      <c r="T10" s="271">
        <v>0</v>
      </c>
      <c r="U10" s="271">
        <v>0</v>
      </c>
      <c r="V10" s="271">
        <v>0</v>
      </c>
      <c r="W10" s="271">
        <v>0</v>
      </c>
      <c r="X10" s="271">
        <v>0</v>
      </c>
      <c r="Y10" s="271">
        <v>0</v>
      </c>
      <c r="Z10" s="271">
        <v>0</v>
      </c>
      <c r="AA10" s="271">
        <v>0</v>
      </c>
      <c r="AB10" s="271">
        <v>0</v>
      </c>
      <c r="AC10" s="271">
        <v>0</v>
      </c>
      <c r="AD10" s="271">
        <v>0</v>
      </c>
      <c r="AE10" s="271">
        <v>0</v>
      </c>
      <c r="AF10" s="273">
        <f t="shared" si="0"/>
        <v>443.54</v>
      </c>
    </row>
    <row r="11" spans="1:32" ht="39" thickBot="1" x14ac:dyDescent="0.3">
      <c r="A11" s="200">
        <v>6</v>
      </c>
      <c r="B11" s="201" t="str">
        <f>'№2 ИП ТС'!B36</f>
        <v xml:space="preserve"> Строительство электрических сетей в п. Верхний Ландех, в районе д. 1А по ул. Новая</v>
      </c>
      <c r="C11" s="201" t="str">
        <f>'№2 ИП ТС'!E36</f>
        <v>п. Верхний Ландех, в районе д. 1А по ул. Новая</v>
      </c>
      <c r="D11" s="271">
        <v>0</v>
      </c>
      <c r="E11" s="271">
        <v>0</v>
      </c>
      <c r="F11" s="271">
        <v>0</v>
      </c>
      <c r="G11" s="271">
        <v>0</v>
      </c>
      <c r="H11" s="272">
        <v>0</v>
      </c>
      <c r="I11" s="272">
        <v>0</v>
      </c>
      <c r="J11" s="272">
        <v>0</v>
      </c>
      <c r="K11" s="272">
        <f>'№2 ИП ТС'!R36</f>
        <v>183.6</v>
      </c>
      <c r="L11" s="271">
        <v>0</v>
      </c>
      <c r="M11" s="271">
        <v>0</v>
      </c>
      <c r="N11" s="271">
        <v>0</v>
      </c>
      <c r="O11" s="271">
        <v>0</v>
      </c>
      <c r="P11" s="271">
        <v>0</v>
      </c>
      <c r="Q11" s="271">
        <v>0</v>
      </c>
      <c r="R11" s="271">
        <v>0</v>
      </c>
      <c r="S11" s="271">
        <v>0</v>
      </c>
      <c r="T11" s="271">
        <v>0</v>
      </c>
      <c r="U11" s="271">
        <v>0</v>
      </c>
      <c r="V11" s="271">
        <v>0</v>
      </c>
      <c r="W11" s="271">
        <v>0</v>
      </c>
      <c r="X11" s="271">
        <v>0</v>
      </c>
      <c r="Y11" s="271">
        <v>0</v>
      </c>
      <c r="Z11" s="271">
        <v>0</v>
      </c>
      <c r="AA11" s="271">
        <v>0</v>
      </c>
      <c r="AB11" s="271">
        <v>0</v>
      </c>
      <c r="AC11" s="271">
        <v>0</v>
      </c>
      <c r="AD11" s="271">
        <v>0</v>
      </c>
      <c r="AE11" s="271">
        <v>0</v>
      </c>
      <c r="AF11" s="273">
        <f t="shared" si="0"/>
        <v>183.6</v>
      </c>
    </row>
    <row r="12" spans="1:32" ht="77.25" thickBot="1" x14ac:dyDescent="0.3">
      <c r="A12" s="200">
        <v>7</v>
      </c>
      <c r="B12" s="201" t="str">
        <f>'№2 ИП ТС'!B37</f>
        <v xml:space="preserve"> Строительство надземного участка тепловых сетей от БМК 2,5МВт до У-1А D=159мм L=15м в 2-х трубном исчислении в п.Верхний Ландех, в районе д. 1А по ул. Новая</v>
      </c>
      <c r="C12" s="201" t="str">
        <f>'№2 ИП ТС'!E37</f>
        <v>п. Верхний Ландех, в районе д. 1А по ул. Новая на земельном участке: 37:01:020304:23</v>
      </c>
      <c r="D12" s="271">
        <v>0</v>
      </c>
      <c r="E12" s="271">
        <v>0</v>
      </c>
      <c r="F12" s="271">
        <v>0</v>
      </c>
      <c r="G12" s="271">
        <v>0</v>
      </c>
      <c r="H12" s="272">
        <v>0</v>
      </c>
      <c r="I12" s="272">
        <v>0</v>
      </c>
      <c r="J12" s="272">
        <v>0</v>
      </c>
      <c r="K12" s="272">
        <f>'№2 ИП ТС'!R37</f>
        <v>385.62599999999998</v>
      </c>
      <c r="L12" s="271">
        <v>0</v>
      </c>
      <c r="M12" s="271">
        <v>0</v>
      </c>
      <c r="N12" s="271">
        <v>0</v>
      </c>
      <c r="O12" s="271">
        <v>0</v>
      </c>
      <c r="P12" s="271">
        <v>0</v>
      </c>
      <c r="Q12" s="271">
        <v>0</v>
      </c>
      <c r="R12" s="271">
        <v>0</v>
      </c>
      <c r="S12" s="271">
        <v>0</v>
      </c>
      <c r="T12" s="271">
        <v>0</v>
      </c>
      <c r="U12" s="271">
        <v>0</v>
      </c>
      <c r="V12" s="271">
        <v>0</v>
      </c>
      <c r="W12" s="271">
        <v>0</v>
      </c>
      <c r="X12" s="271">
        <v>0</v>
      </c>
      <c r="Y12" s="271">
        <v>0</v>
      </c>
      <c r="Z12" s="271">
        <v>0</v>
      </c>
      <c r="AA12" s="271">
        <v>0</v>
      </c>
      <c r="AB12" s="271">
        <v>0</v>
      </c>
      <c r="AC12" s="271">
        <v>0</v>
      </c>
      <c r="AD12" s="271">
        <v>0</v>
      </c>
      <c r="AE12" s="271">
        <v>0</v>
      </c>
      <c r="AF12" s="273">
        <f t="shared" si="0"/>
        <v>385.62599999999998</v>
      </c>
    </row>
    <row r="13" spans="1:32" ht="51.75" thickBot="1" x14ac:dyDescent="0.3">
      <c r="A13" s="200">
        <v>8</v>
      </c>
      <c r="B13" s="201" t="str">
        <f>'№2 ИП ТС'!B38</f>
        <v>Строительство БМК мощностью 0,4 МВт в п.Верхний Ландех, в районе ул. Октябрьская д. 37А</v>
      </c>
      <c r="C13" s="201" t="str">
        <f>'№2 ИП ТС'!E38</f>
        <v>п. Верхний Ландех, в районе ул. Октябрьская, д. 37А на земельном участке: 37:01:000000:909</v>
      </c>
      <c r="D13" s="271">
        <v>0</v>
      </c>
      <c r="E13" s="271">
        <v>0</v>
      </c>
      <c r="F13" s="271">
        <v>0</v>
      </c>
      <c r="G13" s="271">
        <v>0</v>
      </c>
      <c r="H13" s="272">
        <v>0</v>
      </c>
      <c r="I13" s="272">
        <v>0</v>
      </c>
      <c r="J13" s="272">
        <v>0</v>
      </c>
      <c r="K13" s="272">
        <f>'№2 ИП ТС'!R38</f>
        <v>6871.857</v>
      </c>
      <c r="L13" s="271">
        <v>0</v>
      </c>
      <c r="M13" s="271">
        <v>0</v>
      </c>
      <c r="N13" s="271">
        <v>0</v>
      </c>
      <c r="O13" s="271">
        <v>0</v>
      </c>
      <c r="P13" s="271">
        <v>0</v>
      </c>
      <c r="Q13" s="271">
        <v>0</v>
      </c>
      <c r="R13" s="271">
        <v>0</v>
      </c>
      <c r="S13" s="271">
        <v>0</v>
      </c>
      <c r="T13" s="271">
        <v>0</v>
      </c>
      <c r="U13" s="271">
        <v>0</v>
      </c>
      <c r="V13" s="271">
        <v>0</v>
      </c>
      <c r="W13" s="271">
        <v>0</v>
      </c>
      <c r="X13" s="271">
        <v>0</v>
      </c>
      <c r="Y13" s="271">
        <v>0</v>
      </c>
      <c r="Z13" s="271">
        <v>0</v>
      </c>
      <c r="AA13" s="271">
        <v>0</v>
      </c>
      <c r="AB13" s="271">
        <v>0</v>
      </c>
      <c r="AC13" s="271">
        <v>0</v>
      </c>
      <c r="AD13" s="271">
        <v>0</v>
      </c>
      <c r="AE13" s="271">
        <v>0</v>
      </c>
      <c r="AF13" s="273">
        <f t="shared" si="0"/>
        <v>6871.857</v>
      </c>
    </row>
    <row r="14" spans="1:32" ht="51.75" thickBot="1" x14ac:dyDescent="0.3">
      <c r="A14" s="200">
        <v>9</v>
      </c>
      <c r="B14" s="201" t="str">
        <f>'№2 ИП ТС'!B39</f>
        <v>Строительство сетей газоснабжения в п.Верхний Ландех, в районе ул. Октябрьская, д. 37А</v>
      </c>
      <c r="C14" s="201" t="str">
        <f>'№2 ИП ТС'!E39</f>
        <v>п. Верхний Ландех, в районе ул. Октябрьская, д. 37А</v>
      </c>
      <c r="D14" s="271">
        <v>0</v>
      </c>
      <c r="E14" s="271">
        <v>0</v>
      </c>
      <c r="F14" s="271">
        <v>0</v>
      </c>
      <c r="G14" s="271">
        <v>0</v>
      </c>
      <c r="H14" s="272">
        <v>0</v>
      </c>
      <c r="I14" s="272">
        <v>0</v>
      </c>
      <c r="J14" s="272">
        <v>0</v>
      </c>
      <c r="K14" s="272">
        <f>'№2 ИП ТС'!R39</f>
        <v>246.81399999999999</v>
      </c>
      <c r="L14" s="271">
        <v>0</v>
      </c>
      <c r="M14" s="271">
        <v>0</v>
      </c>
      <c r="N14" s="271">
        <v>0</v>
      </c>
      <c r="O14" s="271">
        <v>0</v>
      </c>
      <c r="P14" s="271">
        <v>0</v>
      </c>
      <c r="Q14" s="271">
        <v>0</v>
      </c>
      <c r="R14" s="271">
        <v>0</v>
      </c>
      <c r="S14" s="271">
        <v>0</v>
      </c>
      <c r="T14" s="271">
        <v>0</v>
      </c>
      <c r="U14" s="271">
        <v>0</v>
      </c>
      <c r="V14" s="271">
        <v>0</v>
      </c>
      <c r="W14" s="271">
        <v>0</v>
      </c>
      <c r="X14" s="271">
        <v>0</v>
      </c>
      <c r="Y14" s="271">
        <v>0</v>
      </c>
      <c r="Z14" s="271">
        <v>0</v>
      </c>
      <c r="AA14" s="271">
        <v>0</v>
      </c>
      <c r="AB14" s="271">
        <v>0</v>
      </c>
      <c r="AC14" s="271">
        <v>0</v>
      </c>
      <c r="AD14" s="271">
        <v>0</v>
      </c>
      <c r="AE14" s="271">
        <v>0</v>
      </c>
      <c r="AF14" s="273">
        <f t="shared" si="0"/>
        <v>246.81399999999999</v>
      </c>
    </row>
    <row r="15" spans="1:32" ht="51.75" thickBot="1" x14ac:dyDescent="0.3">
      <c r="A15" s="200">
        <v>10</v>
      </c>
      <c r="B15" s="201" t="str">
        <f>'№2 ИП ТС'!B40</f>
        <v>Строительство ГРПШ пропускной способностью 100 м3/час в п.Верхний Ландех, в районе ул. Октябрьская, д. 37А</v>
      </c>
      <c r="C15" s="201" t="str">
        <f>'№2 ИП ТС'!E40</f>
        <v>п. Верхний Ландех, в районе ул. Октябрьская, д. 37А</v>
      </c>
      <c r="D15" s="271">
        <v>0</v>
      </c>
      <c r="E15" s="271">
        <v>0</v>
      </c>
      <c r="F15" s="271">
        <v>0</v>
      </c>
      <c r="G15" s="271">
        <v>0</v>
      </c>
      <c r="H15" s="272">
        <v>0</v>
      </c>
      <c r="I15" s="272">
        <v>0</v>
      </c>
      <c r="J15" s="272">
        <v>0</v>
      </c>
      <c r="K15" s="272">
        <f>'№2 ИП ТС'!R40</f>
        <v>331.10500000000002</v>
      </c>
      <c r="L15" s="271">
        <v>0</v>
      </c>
      <c r="M15" s="271">
        <v>0</v>
      </c>
      <c r="N15" s="271">
        <v>0</v>
      </c>
      <c r="O15" s="271">
        <v>0</v>
      </c>
      <c r="P15" s="271">
        <v>0</v>
      </c>
      <c r="Q15" s="271">
        <v>0</v>
      </c>
      <c r="R15" s="271">
        <v>0</v>
      </c>
      <c r="S15" s="271">
        <v>0</v>
      </c>
      <c r="T15" s="271">
        <v>0</v>
      </c>
      <c r="U15" s="271">
        <v>0</v>
      </c>
      <c r="V15" s="271">
        <v>0</v>
      </c>
      <c r="W15" s="271">
        <v>0</v>
      </c>
      <c r="X15" s="271">
        <v>0</v>
      </c>
      <c r="Y15" s="271">
        <v>0</v>
      </c>
      <c r="Z15" s="271">
        <v>0</v>
      </c>
      <c r="AA15" s="271">
        <v>0</v>
      </c>
      <c r="AB15" s="271">
        <v>0</v>
      </c>
      <c r="AC15" s="271">
        <v>0</v>
      </c>
      <c r="AD15" s="271">
        <v>0</v>
      </c>
      <c r="AE15" s="271">
        <v>0</v>
      </c>
      <c r="AF15" s="273">
        <f t="shared" si="0"/>
        <v>331.10500000000002</v>
      </c>
    </row>
    <row r="16" spans="1:32" ht="51.75" thickBot="1" x14ac:dyDescent="0.3">
      <c r="A16" s="200">
        <v>11</v>
      </c>
      <c r="B16" s="201" t="str">
        <f>'№2 ИП ТС'!B41</f>
        <v>Строительство сетей водоснабжения в п.Верхний Ландех, в районе ул. Октябрьская, д. 37А</v>
      </c>
      <c r="C16" s="201" t="str">
        <f>'№2 ИП ТС'!E41</f>
        <v>п. Верхний Ландех, в районе ул. Октябрьская, д. 37А</v>
      </c>
      <c r="D16" s="271">
        <v>0</v>
      </c>
      <c r="E16" s="271">
        <v>0</v>
      </c>
      <c r="F16" s="271">
        <v>0</v>
      </c>
      <c r="G16" s="271">
        <v>0</v>
      </c>
      <c r="H16" s="272">
        <v>0</v>
      </c>
      <c r="I16" s="272">
        <v>0</v>
      </c>
      <c r="J16" s="272">
        <v>0</v>
      </c>
      <c r="K16" s="272">
        <f>'№2 ИП ТС'!R41</f>
        <v>438.80399999999997</v>
      </c>
      <c r="L16" s="271">
        <v>0</v>
      </c>
      <c r="M16" s="271">
        <v>0</v>
      </c>
      <c r="N16" s="271">
        <v>0</v>
      </c>
      <c r="O16" s="271">
        <v>0</v>
      </c>
      <c r="P16" s="271">
        <v>0</v>
      </c>
      <c r="Q16" s="271">
        <v>0</v>
      </c>
      <c r="R16" s="271">
        <v>0</v>
      </c>
      <c r="S16" s="271">
        <v>0</v>
      </c>
      <c r="T16" s="271">
        <v>0</v>
      </c>
      <c r="U16" s="271">
        <v>0</v>
      </c>
      <c r="V16" s="271">
        <v>0</v>
      </c>
      <c r="W16" s="271">
        <v>0</v>
      </c>
      <c r="X16" s="271">
        <v>0</v>
      </c>
      <c r="Y16" s="271">
        <v>0</v>
      </c>
      <c r="Z16" s="271">
        <v>0</v>
      </c>
      <c r="AA16" s="271">
        <v>0</v>
      </c>
      <c r="AB16" s="271">
        <v>0</v>
      </c>
      <c r="AC16" s="271">
        <v>0</v>
      </c>
      <c r="AD16" s="271">
        <v>0</v>
      </c>
      <c r="AE16" s="271">
        <v>0</v>
      </c>
      <c r="AF16" s="273">
        <f t="shared" si="0"/>
        <v>438.80399999999997</v>
      </c>
    </row>
    <row r="17" spans="1:32" ht="51.75" thickBot="1" x14ac:dyDescent="0.3">
      <c r="A17" s="200">
        <v>12</v>
      </c>
      <c r="B17" s="201" t="str">
        <f>'№2 ИП ТС'!B42</f>
        <v>Строительство сетей водоотведения в п.Верхний Ландех, в районе ул. Октябрьская, д. 37А</v>
      </c>
      <c r="C17" s="201" t="str">
        <f>'№2 ИП ТС'!E42</f>
        <v>п. Верхний Ландех, в районе ул. Октябрьская, д. 37А</v>
      </c>
      <c r="D17" s="271">
        <v>0</v>
      </c>
      <c r="E17" s="271">
        <v>0</v>
      </c>
      <c r="F17" s="271">
        <v>0</v>
      </c>
      <c r="G17" s="271">
        <v>0</v>
      </c>
      <c r="H17" s="272">
        <v>0</v>
      </c>
      <c r="I17" s="272">
        <v>0</v>
      </c>
      <c r="J17" s="272">
        <v>0</v>
      </c>
      <c r="K17" s="272">
        <f>'№2 ИП ТС'!R42</f>
        <v>443.54</v>
      </c>
      <c r="L17" s="271">
        <v>0</v>
      </c>
      <c r="M17" s="271">
        <v>0</v>
      </c>
      <c r="N17" s="271">
        <v>0</v>
      </c>
      <c r="O17" s="271">
        <v>0</v>
      </c>
      <c r="P17" s="271">
        <v>0</v>
      </c>
      <c r="Q17" s="271">
        <v>0</v>
      </c>
      <c r="R17" s="271">
        <v>0</v>
      </c>
      <c r="S17" s="271">
        <v>0</v>
      </c>
      <c r="T17" s="271">
        <v>0</v>
      </c>
      <c r="U17" s="271">
        <v>0</v>
      </c>
      <c r="V17" s="271">
        <v>0</v>
      </c>
      <c r="W17" s="271">
        <v>0</v>
      </c>
      <c r="X17" s="271">
        <v>0</v>
      </c>
      <c r="Y17" s="271">
        <v>0</v>
      </c>
      <c r="Z17" s="271">
        <v>0</v>
      </c>
      <c r="AA17" s="271">
        <v>0</v>
      </c>
      <c r="AB17" s="271">
        <v>0</v>
      </c>
      <c r="AC17" s="271">
        <v>0</v>
      </c>
      <c r="AD17" s="271">
        <v>0</v>
      </c>
      <c r="AE17" s="271">
        <v>0</v>
      </c>
      <c r="AF17" s="273">
        <f t="shared" si="0"/>
        <v>443.54</v>
      </c>
    </row>
    <row r="18" spans="1:32" ht="39" thickBot="1" x14ac:dyDescent="0.3">
      <c r="A18" s="200">
        <v>13</v>
      </c>
      <c r="B18" s="201" t="str">
        <f>'№2 ИП ТС'!B43</f>
        <v>Строительство электрических сетей в п.Верхний Ландех, в районе ул. Октябрьская, д. 37А</v>
      </c>
      <c r="C18" s="201" t="str">
        <f>'№2 ИП ТС'!E43</f>
        <v>п. Верхний Ландех, в районе, ул. Октябрьская, д. 37А</v>
      </c>
      <c r="D18" s="271">
        <v>0</v>
      </c>
      <c r="E18" s="271">
        <v>0</v>
      </c>
      <c r="F18" s="271">
        <v>0</v>
      </c>
      <c r="G18" s="271">
        <v>0</v>
      </c>
      <c r="H18" s="272">
        <v>0</v>
      </c>
      <c r="I18" s="272">
        <v>0</v>
      </c>
      <c r="J18" s="272">
        <v>0</v>
      </c>
      <c r="K18" s="272">
        <f>'№2 ИП ТС'!R43</f>
        <v>183.6</v>
      </c>
      <c r="L18" s="271">
        <v>0</v>
      </c>
      <c r="M18" s="271">
        <v>0</v>
      </c>
      <c r="N18" s="271">
        <v>0</v>
      </c>
      <c r="O18" s="271">
        <v>0</v>
      </c>
      <c r="P18" s="271">
        <v>0</v>
      </c>
      <c r="Q18" s="271">
        <v>0</v>
      </c>
      <c r="R18" s="271">
        <v>0</v>
      </c>
      <c r="S18" s="271">
        <v>0</v>
      </c>
      <c r="T18" s="271">
        <v>0</v>
      </c>
      <c r="U18" s="271">
        <v>0</v>
      </c>
      <c r="V18" s="271">
        <v>0</v>
      </c>
      <c r="W18" s="271">
        <v>0</v>
      </c>
      <c r="X18" s="271">
        <v>0</v>
      </c>
      <c r="Y18" s="271">
        <v>0</v>
      </c>
      <c r="Z18" s="271">
        <v>0</v>
      </c>
      <c r="AA18" s="271">
        <v>0</v>
      </c>
      <c r="AB18" s="271">
        <v>0</v>
      </c>
      <c r="AC18" s="271">
        <v>0</v>
      </c>
      <c r="AD18" s="271">
        <v>0</v>
      </c>
      <c r="AE18" s="271">
        <v>0</v>
      </c>
      <c r="AF18" s="273">
        <f t="shared" si="0"/>
        <v>183.6</v>
      </c>
    </row>
    <row r="19" spans="1:32" ht="77.25" thickBot="1" x14ac:dyDescent="0.3">
      <c r="A19" s="200">
        <v>14</v>
      </c>
      <c r="B19" s="201" t="str">
        <f>'№2 ИП ТС'!B44</f>
        <v>Строительство надземного участка тепловых сетей от БМК 0,4МВт до У-1Б, D=108мм, L=35м (в 2-х трубном исчислении) в п. Верхний Ландех, в районе ул. Октябрьская, д. 37А</v>
      </c>
      <c r="C19" s="201" t="str">
        <f>'№2 ИП ТС'!E44</f>
        <v>п. Верхний Ландех в районе ул. Октябрьская, д. 37А на земельном участке: 37:01:000000:909</v>
      </c>
      <c r="D19" s="271">
        <v>0</v>
      </c>
      <c r="E19" s="271">
        <v>0</v>
      </c>
      <c r="F19" s="271">
        <v>0</v>
      </c>
      <c r="G19" s="271">
        <v>0</v>
      </c>
      <c r="H19" s="272">
        <v>0</v>
      </c>
      <c r="I19" s="272">
        <v>0</v>
      </c>
      <c r="J19" s="272">
        <v>0</v>
      </c>
      <c r="K19" s="272">
        <f>'№2 ИП ТС'!R44</f>
        <v>686.88499999999999</v>
      </c>
      <c r="L19" s="271">
        <v>0</v>
      </c>
      <c r="M19" s="271">
        <v>0</v>
      </c>
      <c r="N19" s="271">
        <v>0</v>
      </c>
      <c r="O19" s="271">
        <v>0</v>
      </c>
      <c r="P19" s="271">
        <v>0</v>
      </c>
      <c r="Q19" s="271">
        <v>0</v>
      </c>
      <c r="R19" s="271">
        <v>0</v>
      </c>
      <c r="S19" s="271">
        <v>0</v>
      </c>
      <c r="T19" s="271">
        <v>0</v>
      </c>
      <c r="U19" s="271">
        <v>0</v>
      </c>
      <c r="V19" s="271">
        <v>0</v>
      </c>
      <c r="W19" s="271">
        <v>0</v>
      </c>
      <c r="X19" s="271">
        <v>0</v>
      </c>
      <c r="Y19" s="271">
        <v>0</v>
      </c>
      <c r="Z19" s="271">
        <v>0</v>
      </c>
      <c r="AA19" s="271">
        <v>0</v>
      </c>
      <c r="AB19" s="271">
        <v>0</v>
      </c>
      <c r="AC19" s="271">
        <v>0</v>
      </c>
      <c r="AD19" s="271">
        <v>0</v>
      </c>
      <c r="AE19" s="271">
        <v>0</v>
      </c>
      <c r="AF19" s="273">
        <f t="shared" si="0"/>
        <v>686.88499999999999</v>
      </c>
    </row>
    <row r="20" spans="1:32" ht="45.75" thickBot="1" x14ac:dyDescent="0.3">
      <c r="A20" s="200">
        <v>15</v>
      </c>
      <c r="B20" s="201" t="str">
        <f>'№2 ИП ТС'!B45</f>
        <v xml:space="preserve">Строительство БМК мощностью 2,0 МВт в п.Верхний Ландех, в районе ул. Строителей, д. 22       </v>
      </c>
      <c r="C20" s="201" t="str">
        <f>'№2 ИП ТС'!E45</f>
        <v>п. Верхний Ландех, в районе ул. Строителей, д. 22</v>
      </c>
      <c r="D20" s="271">
        <v>0</v>
      </c>
      <c r="E20" s="271">
        <v>0</v>
      </c>
      <c r="F20" s="271">
        <v>0</v>
      </c>
      <c r="G20" s="271">
        <v>0</v>
      </c>
      <c r="H20" s="271">
        <v>0</v>
      </c>
      <c r="I20" s="271">
        <v>0</v>
      </c>
      <c r="J20" s="271">
        <v>0</v>
      </c>
      <c r="K20" s="272">
        <f>'№2 ИП ТС'!R45</f>
        <v>22835.973999999998</v>
      </c>
      <c r="L20" s="271">
        <v>0</v>
      </c>
      <c r="M20" s="271">
        <v>0</v>
      </c>
      <c r="N20" s="271">
        <v>0</v>
      </c>
      <c r="O20" s="271">
        <v>0</v>
      </c>
      <c r="P20" s="271">
        <v>0</v>
      </c>
      <c r="Q20" s="271">
        <v>0</v>
      </c>
      <c r="R20" s="271">
        <v>0</v>
      </c>
      <c r="S20" s="271">
        <v>0</v>
      </c>
      <c r="T20" s="271">
        <v>0</v>
      </c>
      <c r="U20" s="271">
        <v>0</v>
      </c>
      <c r="V20" s="271">
        <v>0</v>
      </c>
      <c r="W20" s="271">
        <v>0</v>
      </c>
      <c r="X20" s="271">
        <v>0</v>
      </c>
      <c r="Y20" s="271">
        <v>0</v>
      </c>
      <c r="Z20" s="271">
        <v>0</v>
      </c>
      <c r="AA20" s="271">
        <v>0</v>
      </c>
      <c r="AB20" s="271">
        <v>0</v>
      </c>
      <c r="AC20" s="271">
        <v>0</v>
      </c>
      <c r="AD20" s="271">
        <v>0</v>
      </c>
      <c r="AE20" s="271">
        <v>0</v>
      </c>
      <c r="AF20" s="273">
        <f t="shared" si="0"/>
        <v>22835.973999999998</v>
      </c>
    </row>
    <row r="21" spans="1:32" ht="51.75" thickBot="1" x14ac:dyDescent="0.3">
      <c r="A21" s="200">
        <v>16</v>
      </c>
      <c r="B21" s="201" t="str">
        <f>'№2 ИП ТС'!B46</f>
        <v>Строительство сетей газоснабжения в п. Верхний Ландех, в районе ул. Строителей, д. 22</v>
      </c>
      <c r="C21" s="201" t="str">
        <f>'№2 ИП ТС'!E46</f>
        <v>п. Верхний Ландех, в районе ул. Строителей, д. 22</v>
      </c>
      <c r="D21" s="271">
        <v>0</v>
      </c>
      <c r="E21" s="271">
        <v>0</v>
      </c>
      <c r="F21" s="271">
        <v>0</v>
      </c>
      <c r="G21" s="271">
        <v>0</v>
      </c>
      <c r="H21" s="271">
        <v>0</v>
      </c>
      <c r="I21" s="271">
        <v>0</v>
      </c>
      <c r="J21" s="271">
        <v>0</v>
      </c>
      <c r="K21" s="272">
        <f>'№2 ИП ТС'!R46</f>
        <v>261.084</v>
      </c>
      <c r="L21" s="271">
        <v>0</v>
      </c>
      <c r="M21" s="271">
        <v>0</v>
      </c>
      <c r="N21" s="271">
        <v>0</v>
      </c>
      <c r="O21" s="271">
        <v>0</v>
      </c>
      <c r="P21" s="271">
        <v>0</v>
      </c>
      <c r="Q21" s="271">
        <v>0</v>
      </c>
      <c r="R21" s="271">
        <v>0</v>
      </c>
      <c r="S21" s="271">
        <v>0</v>
      </c>
      <c r="T21" s="271">
        <v>0</v>
      </c>
      <c r="U21" s="271">
        <v>0</v>
      </c>
      <c r="V21" s="271">
        <v>0</v>
      </c>
      <c r="W21" s="271">
        <v>0</v>
      </c>
      <c r="X21" s="271">
        <v>0</v>
      </c>
      <c r="Y21" s="271">
        <v>0</v>
      </c>
      <c r="Z21" s="271">
        <v>0</v>
      </c>
      <c r="AA21" s="271">
        <v>0</v>
      </c>
      <c r="AB21" s="271">
        <v>0</v>
      </c>
      <c r="AC21" s="271">
        <v>0</v>
      </c>
      <c r="AD21" s="271">
        <v>0</v>
      </c>
      <c r="AE21" s="271">
        <v>0</v>
      </c>
      <c r="AF21" s="273">
        <f t="shared" si="0"/>
        <v>261.084</v>
      </c>
    </row>
    <row r="22" spans="1:32" ht="51.75" thickBot="1" x14ac:dyDescent="0.3">
      <c r="A22" s="200">
        <v>17</v>
      </c>
      <c r="B22" s="201" t="str">
        <f>'№2 ИП ТС'!B47</f>
        <v>Строительство ГРПШ пропускной способностью 250 м3/час в п. Верхний Ландех, в районе ул. Строителей, д. 22</v>
      </c>
      <c r="C22" s="201" t="str">
        <f>'№2 ИП ТС'!E47</f>
        <v>п. Верхний Ландех, в районе ул. Строителей, д. 22</v>
      </c>
      <c r="D22" s="271">
        <v>0</v>
      </c>
      <c r="E22" s="271">
        <v>0</v>
      </c>
      <c r="F22" s="271">
        <v>0</v>
      </c>
      <c r="G22" s="271">
        <v>0</v>
      </c>
      <c r="H22" s="271">
        <v>0</v>
      </c>
      <c r="I22" s="271">
        <v>0</v>
      </c>
      <c r="J22" s="271">
        <v>0</v>
      </c>
      <c r="K22" s="272">
        <f>'№2 ИП ТС'!R47</f>
        <v>278.892</v>
      </c>
      <c r="L22" s="271">
        <v>0</v>
      </c>
      <c r="M22" s="271">
        <v>0</v>
      </c>
      <c r="N22" s="271">
        <v>0</v>
      </c>
      <c r="O22" s="271">
        <v>0</v>
      </c>
      <c r="P22" s="271">
        <v>0</v>
      </c>
      <c r="Q22" s="271">
        <v>0</v>
      </c>
      <c r="R22" s="271">
        <v>0</v>
      </c>
      <c r="S22" s="271">
        <v>0</v>
      </c>
      <c r="T22" s="271">
        <v>0</v>
      </c>
      <c r="U22" s="271">
        <v>0</v>
      </c>
      <c r="V22" s="271">
        <v>0</v>
      </c>
      <c r="W22" s="271">
        <v>0</v>
      </c>
      <c r="X22" s="271">
        <v>0</v>
      </c>
      <c r="Y22" s="271">
        <v>0</v>
      </c>
      <c r="Z22" s="271">
        <v>0</v>
      </c>
      <c r="AA22" s="271">
        <v>0</v>
      </c>
      <c r="AB22" s="271">
        <v>0</v>
      </c>
      <c r="AC22" s="271">
        <v>0</v>
      </c>
      <c r="AD22" s="271">
        <v>0</v>
      </c>
      <c r="AE22" s="271">
        <v>0</v>
      </c>
      <c r="AF22" s="273">
        <f t="shared" si="0"/>
        <v>278.892</v>
      </c>
    </row>
    <row r="23" spans="1:32" ht="51.75" thickBot="1" x14ac:dyDescent="0.3">
      <c r="A23" s="200">
        <v>18</v>
      </c>
      <c r="B23" s="201" t="str">
        <f>'№2 ИП ТС'!B48</f>
        <v>Строительство сетей водоснабжения в п. Верхний Ландех, в районе ул. Строителей, д. 22</v>
      </c>
      <c r="C23" s="201" t="str">
        <f>'№2 ИП ТС'!E48</f>
        <v>п. Верхний Ландех, в районе  ул. Строителей, д. 22</v>
      </c>
      <c r="D23" s="271">
        <v>0</v>
      </c>
      <c r="E23" s="271">
        <v>0</v>
      </c>
      <c r="F23" s="271">
        <v>0</v>
      </c>
      <c r="G23" s="271">
        <v>0</v>
      </c>
      <c r="H23" s="271">
        <v>0</v>
      </c>
      <c r="I23" s="271">
        <v>0</v>
      </c>
      <c r="J23" s="271">
        <v>0</v>
      </c>
      <c r="K23" s="272">
        <f>'№2 ИП ТС'!R48</f>
        <v>438.80399999999997</v>
      </c>
      <c r="L23" s="271">
        <v>0</v>
      </c>
      <c r="M23" s="271">
        <v>0</v>
      </c>
      <c r="N23" s="271">
        <v>0</v>
      </c>
      <c r="O23" s="271">
        <v>0</v>
      </c>
      <c r="P23" s="271">
        <v>0</v>
      </c>
      <c r="Q23" s="271">
        <v>0</v>
      </c>
      <c r="R23" s="271">
        <v>0</v>
      </c>
      <c r="S23" s="271">
        <v>0</v>
      </c>
      <c r="T23" s="271">
        <v>0</v>
      </c>
      <c r="U23" s="271">
        <v>0</v>
      </c>
      <c r="V23" s="271">
        <v>0</v>
      </c>
      <c r="W23" s="271">
        <v>0</v>
      </c>
      <c r="X23" s="271">
        <v>0</v>
      </c>
      <c r="Y23" s="271">
        <v>0</v>
      </c>
      <c r="Z23" s="271">
        <v>0</v>
      </c>
      <c r="AA23" s="271">
        <v>0</v>
      </c>
      <c r="AB23" s="271">
        <v>0</v>
      </c>
      <c r="AC23" s="271">
        <v>0</v>
      </c>
      <c r="AD23" s="271">
        <v>0</v>
      </c>
      <c r="AE23" s="271">
        <v>0</v>
      </c>
      <c r="AF23" s="273">
        <f t="shared" si="0"/>
        <v>438.80399999999997</v>
      </c>
    </row>
    <row r="24" spans="1:32" ht="51.75" thickBot="1" x14ac:dyDescent="0.3">
      <c r="A24" s="200">
        <v>19</v>
      </c>
      <c r="B24" s="201" t="str">
        <f>'№2 ИП ТС'!B49</f>
        <v>Строительство сетей водоотведения в п.Верхний Ландех, в районе ул. Строителей, д. 22</v>
      </c>
      <c r="C24" s="201" t="str">
        <f>'№2 ИП ТС'!E49</f>
        <v>п. Верхний Ландех, в районе ул. Строителей, д. 22</v>
      </c>
      <c r="D24" s="271">
        <v>0</v>
      </c>
      <c r="E24" s="271">
        <v>0</v>
      </c>
      <c r="F24" s="271">
        <v>0</v>
      </c>
      <c r="G24" s="271">
        <v>0</v>
      </c>
      <c r="H24" s="271">
        <v>0</v>
      </c>
      <c r="I24" s="271">
        <v>0</v>
      </c>
      <c r="J24" s="271">
        <v>0</v>
      </c>
      <c r="K24" s="272">
        <f>'№2 ИП ТС'!R49</f>
        <v>443.54</v>
      </c>
      <c r="L24" s="271">
        <v>0</v>
      </c>
      <c r="M24" s="271">
        <v>0</v>
      </c>
      <c r="N24" s="271">
        <v>0</v>
      </c>
      <c r="O24" s="271">
        <v>0</v>
      </c>
      <c r="P24" s="271">
        <v>0</v>
      </c>
      <c r="Q24" s="271">
        <v>0</v>
      </c>
      <c r="R24" s="271">
        <v>0</v>
      </c>
      <c r="S24" s="271">
        <v>0</v>
      </c>
      <c r="T24" s="271">
        <v>0</v>
      </c>
      <c r="U24" s="271">
        <v>0</v>
      </c>
      <c r="V24" s="271">
        <v>0</v>
      </c>
      <c r="W24" s="271">
        <v>0</v>
      </c>
      <c r="X24" s="271">
        <v>0</v>
      </c>
      <c r="Y24" s="271">
        <v>0</v>
      </c>
      <c r="Z24" s="271">
        <v>0</v>
      </c>
      <c r="AA24" s="271">
        <v>0</v>
      </c>
      <c r="AB24" s="271">
        <v>0</v>
      </c>
      <c r="AC24" s="271">
        <v>0</v>
      </c>
      <c r="AD24" s="271">
        <v>0</v>
      </c>
      <c r="AE24" s="271">
        <v>0</v>
      </c>
      <c r="AF24" s="273">
        <f t="shared" si="0"/>
        <v>443.54</v>
      </c>
    </row>
    <row r="25" spans="1:32" ht="39" thickBot="1" x14ac:dyDescent="0.3">
      <c r="A25" s="200">
        <v>20</v>
      </c>
      <c r="B25" s="201" t="str">
        <f>'№2 ИП ТС'!B50</f>
        <v>Строительство электрических сетей в п. Верхний Ландех, в районе ул. Строителей, д. 22</v>
      </c>
      <c r="C25" s="201" t="str">
        <f>'№2 ИП ТС'!E50</f>
        <v>п. Верхний Ландех, в районе ул. Строителей, д.  22</v>
      </c>
      <c r="D25" s="271">
        <v>0</v>
      </c>
      <c r="E25" s="271">
        <v>0</v>
      </c>
      <c r="F25" s="271">
        <v>0</v>
      </c>
      <c r="G25" s="271">
        <v>0</v>
      </c>
      <c r="H25" s="271">
        <v>0</v>
      </c>
      <c r="I25" s="271">
        <v>0</v>
      </c>
      <c r="J25" s="271">
        <v>0</v>
      </c>
      <c r="K25" s="272">
        <f>'№2 ИП ТС'!R50</f>
        <v>183.6</v>
      </c>
      <c r="L25" s="271">
        <v>0</v>
      </c>
      <c r="M25" s="271">
        <v>0</v>
      </c>
      <c r="N25" s="271">
        <v>0</v>
      </c>
      <c r="O25" s="271">
        <v>0</v>
      </c>
      <c r="P25" s="271">
        <v>0</v>
      </c>
      <c r="Q25" s="271">
        <v>0</v>
      </c>
      <c r="R25" s="271">
        <v>0</v>
      </c>
      <c r="S25" s="271">
        <v>0</v>
      </c>
      <c r="T25" s="271">
        <v>0</v>
      </c>
      <c r="U25" s="271">
        <v>0</v>
      </c>
      <c r="V25" s="271">
        <v>0</v>
      </c>
      <c r="W25" s="271">
        <v>0</v>
      </c>
      <c r="X25" s="271">
        <v>0</v>
      </c>
      <c r="Y25" s="271">
        <v>0</v>
      </c>
      <c r="Z25" s="271">
        <v>0</v>
      </c>
      <c r="AA25" s="271">
        <v>0</v>
      </c>
      <c r="AB25" s="271">
        <v>0</v>
      </c>
      <c r="AC25" s="271">
        <v>0</v>
      </c>
      <c r="AD25" s="271">
        <v>0</v>
      </c>
      <c r="AE25" s="271">
        <v>0</v>
      </c>
      <c r="AF25" s="273">
        <f t="shared" si="0"/>
        <v>183.6</v>
      </c>
    </row>
    <row r="26" spans="1:32" ht="64.5" thickBot="1" x14ac:dyDescent="0.3">
      <c r="A26" s="200">
        <v>21</v>
      </c>
      <c r="B26" s="201" t="str">
        <f>'№2 ИП ТС'!B51</f>
        <v>Строительство тепловых сетей в п. Верхний Ландех, в районе ул. Строителей, д. 22,от БМК до У-10Б, L=50м, Ду150, надземная прокладка</v>
      </c>
      <c r="C26" s="201" t="str">
        <f>'№2 ИП ТС'!E51</f>
        <v>п. Верхний Ландех, в районе ул. Строителей, д. 22</v>
      </c>
      <c r="D26" s="271">
        <v>0</v>
      </c>
      <c r="E26" s="271">
        <v>0</v>
      </c>
      <c r="F26" s="271">
        <v>0</v>
      </c>
      <c r="G26" s="271">
        <v>0</v>
      </c>
      <c r="H26" s="271">
        <v>0</v>
      </c>
      <c r="I26" s="271">
        <v>0</v>
      </c>
      <c r="J26" s="271">
        <v>0</v>
      </c>
      <c r="K26" s="272">
        <f>'№2 ИП ТС'!R51</f>
        <v>1285.4100000000001</v>
      </c>
      <c r="L26" s="271">
        <v>0</v>
      </c>
      <c r="M26" s="271">
        <v>0</v>
      </c>
      <c r="N26" s="271">
        <v>0</v>
      </c>
      <c r="O26" s="271">
        <v>0</v>
      </c>
      <c r="P26" s="271">
        <v>0</v>
      </c>
      <c r="Q26" s="271">
        <v>0</v>
      </c>
      <c r="R26" s="271">
        <v>0</v>
      </c>
      <c r="S26" s="271">
        <v>0</v>
      </c>
      <c r="T26" s="271">
        <v>0</v>
      </c>
      <c r="U26" s="271">
        <v>0</v>
      </c>
      <c r="V26" s="271">
        <v>0</v>
      </c>
      <c r="W26" s="271">
        <v>0</v>
      </c>
      <c r="X26" s="271">
        <v>0</v>
      </c>
      <c r="Y26" s="271">
        <v>0</v>
      </c>
      <c r="Z26" s="271">
        <v>0</v>
      </c>
      <c r="AA26" s="271">
        <v>0</v>
      </c>
      <c r="AB26" s="271">
        <v>0</v>
      </c>
      <c r="AC26" s="271">
        <v>0</v>
      </c>
      <c r="AD26" s="271">
        <v>0</v>
      </c>
      <c r="AE26" s="271">
        <v>0</v>
      </c>
      <c r="AF26" s="273">
        <f t="shared" si="0"/>
        <v>1285.4100000000001</v>
      </c>
    </row>
    <row r="27" spans="1:32" ht="77.25" thickBot="1" x14ac:dyDescent="0.3">
      <c r="A27" s="200">
        <v>22</v>
      </c>
      <c r="B27" s="201" t="str">
        <f>'№2 ИП ТС'!B52</f>
        <v>Строительство надземного участка тепловой сети от У-10Б до У-10, D=133мм, L=17м (в 2-х трубном исчислении) в п. Верхний Ландех, в районе ул. Строителей, д. 22</v>
      </c>
      <c r="C27" s="201" t="str">
        <f>'№2 ИП ТС'!E52</f>
        <v>п. Верхний Ландех, в районе ул. Строителей, д. 22</v>
      </c>
      <c r="D27" s="271">
        <v>0</v>
      </c>
      <c r="E27" s="271">
        <v>0</v>
      </c>
      <c r="F27" s="271">
        <v>0</v>
      </c>
      <c r="G27" s="271">
        <v>0</v>
      </c>
      <c r="H27" s="271">
        <v>0</v>
      </c>
      <c r="I27" s="271">
        <v>0</v>
      </c>
      <c r="J27" s="271">
        <v>0</v>
      </c>
      <c r="K27" s="272">
        <f>'№2 ИП ТС'!R52</f>
        <v>392.89600000000002</v>
      </c>
      <c r="L27" s="271">
        <v>0</v>
      </c>
      <c r="M27" s="271">
        <v>0</v>
      </c>
      <c r="N27" s="271">
        <v>0</v>
      </c>
      <c r="O27" s="271">
        <v>0</v>
      </c>
      <c r="P27" s="271">
        <v>0</v>
      </c>
      <c r="Q27" s="271">
        <v>0</v>
      </c>
      <c r="R27" s="271">
        <v>0</v>
      </c>
      <c r="S27" s="271">
        <v>0</v>
      </c>
      <c r="T27" s="271">
        <v>0</v>
      </c>
      <c r="U27" s="271">
        <v>0</v>
      </c>
      <c r="V27" s="271">
        <v>0</v>
      </c>
      <c r="W27" s="271">
        <v>0</v>
      </c>
      <c r="X27" s="271">
        <v>0</v>
      </c>
      <c r="Y27" s="271">
        <v>0</v>
      </c>
      <c r="Z27" s="271">
        <v>0</v>
      </c>
      <c r="AA27" s="271">
        <v>0</v>
      </c>
      <c r="AB27" s="271">
        <v>0</v>
      </c>
      <c r="AC27" s="271">
        <v>0</v>
      </c>
      <c r="AD27" s="271">
        <v>0</v>
      </c>
      <c r="AE27" s="271">
        <v>0</v>
      </c>
      <c r="AF27" s="273">
        <f t="shared" si="0"/>
        <v>392.89600000000002</v>
      </c>
    </row>
    <row r="28" spans="1:32" ht="77.25" thickBot="1" x14ac:dyDescent="0.3">
      <c r="A28" s="200">
        <v>23</v>
      </c>
      <c r="B28" s="201" t="str">
        <f>'№2 ИП ТС'!B53</f>
        <v>Строительство надземного участка тепловой сети от У-10Б до У-10А, D=108 мм, L=22м (в 2-х трубном исчислении) в п. Верхний Ландех, в районе ул. Строителей, д. 22</v>
      </c>
      <c r="C28" s="201" t="str">
        <f>'№2 ИП ТС'!E53</f>
        <v>п. Верхний Ландех, в районе ул. Строителей, д. 22</v>
      </c>
      <c r="D28" s="271">
        <v>0</v>
      </c>
      <c r="E28" s="271">
        <v>0</v>
      </c>
      <c r="F28" s="271">
        <v>0</v>
      </c>
      <c r="G28" s="271">
        <v>0</v>
      </c>
      <c r="H28" s="271">
        <v>0</v>
      </c>
      <c r="I28" s="271">
        <v>0</v>
      </c>
      <c r="J28" s="271">
        <v>0</v>
      </c>
      <c r="K28" s="272">
        <f>'№2 ИП ТС'!R53</f>
        <v>458.15800000000002</v>
      </c>
      <c r="L28" s="271">
        <v>0</v>
      </c>
      <c r="M28" s="271">
        <v>0</v>
      </c>
      <c r="N28" s="271">
        <v>0</v>
      </c>
      <c r="O28" s="271">
        <v>0</v>
      </c>
      <c r="P28" s="271">
        <v>0</v>
      </c>
      <c r="Q28" s="271">
        <v>0</v>
      </c>
      <c r="R28" s="271">
        <v>0</v>
      </c>
      <c r="S28" s="271">
        <v>0</v>
      </c>
      <c r="T28" s="271">
        <v>0</v>
      </c>
      <c r="U28" s="271">
        <v>0</v>
      </c>
      <c r="V28" s="271">
        <v>0</v>
      </c>
      <c r="W28" s="271">
        <v>0</v>
      </c>
      <c r="X28" s="271">
        <v>0</v>
      </c>
      <c r="Y28" s="271">
        <v>0</v>
      </c>
      <c r="Z28" s="271">
        <v>0</v>
      </c>
      <c r="AA28" s="271">
        <v>0</v>
      </c>
      <c r="AB28" s="271">
        <v>0</v>
      </c>
      <c r="AC28" s="271">
        <v>0</v>
      </c>
      <c r="AD28" s="271">
        <v>0</v>
      </c>
      <c r="AE28" s="271">
        <v>0</v>
      </c>
      <c r="AF28" s="273">
        <f t="shared" si="0"/>
        <v>458.15800000000002</v>
      </c>
    </row>
    <row r="29" spans="1:32" ht="51.75" thickBot="1" x14ac:dyDescent="0.3">
      <c r="A29" s="200">
        <v>24</v>
      </c>
      <c r="B29" s="201" t="str">
        <f>'№2 ИП ТС'!B54</f>
        <v>Строительство БМК мощностью 0,4 МВт в п. Верхний Ландех, в районе пер. Школьный, д. 2</v>
      </c>
      <c r="C29" s="201" t="str">
        <f>'№2 ИП ТС'!E54</f>
        <v>п. Верхний Ландех, в районе пер. Школьный, д. 2 на земельном участке: 37:01:020102:15</v>
      </c>
      <c r="D29" s="271">
        <v>0</v>
      </c>
      <c r="E29" s="271">
        <v>0</v>
      </c>
      <c r="F29" s="271">
        <v>0</v>
      </c>
      <c r="G29" s="271">
        <v>0</v>
      </c>
      <c r="H29" s="271">
        <v>0</v>
      </c>
      <c r="I29" s="271">
        <v>0</v>
      </c>
      <c r="J29" s="271">
        <v>0</v>
      </c>
      <c r="K29" s="272">
        <f>'№2 ИП ТС'!R54</f>
        <v>6871.857</v>
      </c>
      <c r="L29" s="271">
        <v>0</v>
      </c>
      <c r="M29" s="271">
        <v>0</v>
      </c>
      <c r="N29" s="271">
        <v>0</v>
      </c>
      <c r="O29" s="271">
        <v>0</v>
      </c>
      <c r="P29" s="271">
        <v>0</v>
      </c>
      <c r="Q29" s="271">
        <v>0</v>
      </c>
      <c r="R29" s="271">
        <v>0</v>
      </c>
      <c r="S29" s="271">
        <v>0</v>
      </c>
      <c r="T29" s="271">
        <v>0</v>
      </c>
      <c r="U29" s="271">
        <v>0</v>
      </c>
      <c r="V29" s="271">
        <v>0</v>
      </c>
      <c r="W29" s="271">
        <v>0</v>
      </c>
      <c r="X29" s="271">
        <v>0</v>
      </c>
      <c r="Y29" s="271">
        <v>0</v>
      </c>
      <c r="Z29" s="271">
        <v>0</v>
      </c>
      <c r="AA29" s="271">
        <v>0</v>
      </c>
      <c r="AB29" s="271">
        <v>0</v>
      </c>
      <c r="AC29" s="271">
        <v>0</v>
      </c>
      <c r="AD29" s="271">
        <v>0</v>
      </c>
      <c r="AE29" s="271">
        <v>0</v>
      </c>
      <c r="AF29" s="273">
        <f t="shared" si="0"/>
        <v>6871.857</v>
      </c>
    </row>
    <row r="30" spans="1:32" ht="51.75" thickBot="1" x14ac:dyDescent="0.3">
      <c r="A30" s="200">
        <v>25</v>
      </c>
      <c r="B30" s="201" t="str">
        <f>'№2 ИП ТС'!B55</f>
        <v>Строительство сетей газоснабжения в п. Верхний Ландех, в районе пер. Школьный, д. 2</v>
      </c>
      <c r="C30" s="201" t="str">
        <f>'№2 ИП ТС'!E55</f>
        <v>п. Верхний Ландех, в районе пер. Школьный, д. 2</v>
      </c>
      <c r="D30" s="271">
        <v>0</v>
      </c>
      <c r="E30" s="271">
        <v>0</v>
      </c>
      <c r="F30" s="271">
        <v>0</v>
      </c>
      <c r="G30" s="271">
        <v>0</v>
      </c>
      <c r="H30" s="271">
        <v>0</v>
      </c>
      <c r="I30" s="271">
        <v>0</v>
      </c>
      <c r="J30" s="271">
        <v>0</v>
      </c>
      <c r="K30" s="272">
        <f>'№2 ИП ТС'!R55</f>
        <v>246.81399999999999</v>
      </c>
      <c r="L30" s="271">
        <v>0</v>
      </c>
      <c r="M30" s="271">
        <v>0</v>
      </c>
      <c r="N30" s="271">
        <v>0</v>
      </c>
      <c r="O30" s="271">
        <v>0</v>
      </c>
      <c r="P30" s="271">
        <v>0</v>
      </c>
      <c r="Q30" s="271">
        <v>0</v>
      </c>
      <c r="R30" s="271">
        <v>0</v>
      </c>
      <c r="S30" s="271">
        <v>0</v>
      </c>
      <c r="T30" s="271">
        <v>0</v>
      </c>
      <c r="U30" s="271">
        <v>0</v>
      </c>
      <c r="V30" s="271">
        <v>0</v>
      </c>
      <c r="W30" s="271">
        <v>0</v>
      </c>
      <c r="X30" s="271">
        <v>0</v>
      </c>
      <c r="Y30" s="271">
        <v>0</v>
      </c>
      <c r="Z30" s="271">
        <v>0</v>
      </c>
      <c r="AA30" s="271">
        <v>0</v>
      </c>
      <c r="AB30" s="271">
        <v>0</v>
      </c>
      <c r="AC30" s="271">
        <v>0</v>
      </c>
      <c r="AD30" s="271">
        <v>0</v>
      </c>
      <c r="AE30" s="271">
        <v>0</v>
      </c>
      <c r="AF30" s="273">
        <f t="shared" si="0"/>
        <v>246.81399999999999</v>
      </c>
    </row>
    <row r="31" spans="1:32" ht="51.75" thickBot="1" x14ac:dyDescent="0.3">
      <c r="A31" s="200">
        <v>26</v>
      </c>
      <c r="B31" s="201" t="str">
        <f>'№2 ИП ТС'!B56</f>
        <v>Строительство ГРПШ пропускной способностью 100 м3/час в п. Верхний Ландех, в районе пер. Школьный, д. 2</v>
      </c>
      <c r="C31" s="201" t="str">
        <f>'№2 ИП ТС'!E56</f>
        <v>п. Верхний Ландех, в районе пер. Школьный, д. 2</v>
      </c>
      <c r="D31" s="271">
        <v>0</v>
      </c>
      <c r="E31" s="271">
        <v>0</v>
      </c>
      <c r="F31" s="271">
        <v>0</v>
      </c>
      <c r="G31" s="271">
        <v>0</v>
      </c>
      <c r="H31" s="271">
        <v>0</v>
      </c>
      <c r="I31" s="271">
        <v>0</v>
      </c>
      <c r="J31" s="271">
        <v>0</v>
      </c>
      <c r="K31" s="272">
        <f>'№2 ИП ТС'!R56</f>
        <v>331.10500000000002</v>
      </c>
      <c r="L31" s="271">
        <v>0</v>
      </c>
      <c r="M31" s="271">
        <v>0</v>
      </c>
      <c r="N31" s="271">
        <v>0</v>
      </c>
      <c r="O31" s="271">
        <v>0</v>
      </c>
      <c r="P31" s="271">
        <v>0</v>
      </c>
      <c r="Q31" s="271">
        <v>0</v>
      </c>
      <c r="R31" s="271">
        <v>0</v>
      </c>
      <c r="S31" s="271">
        <v>0</v>
      </c>
      <c r="T31" s="271">
        <v>0</v>
      </c>
      <c r="U31" s="271">
        <v>0</v>
      </c>
      <c r="V31" s="271">
        <v>0</v>
      </c>
      <c r="W31" s="271">
        <v>0</v>
      </c>
      <c r="X31" s="271">
        <v>0</v>
      </c>
      <c r="Y31" s="271">
        <v>0</v>
      </c>
      <c r="Z31" s="271">
        <v>0</v>
      </c>
      <c r="AA31" s="271">
        <v>0</v>
      </c>
      <c r="AB31" s="271">
        <v>0</v>
      </c>
      <c r="AC31" s="271">
        <v>0</v>
      </c>
      <c r="AD31" s="271">
        <v>0</v>
      </c>
      <c r="AE31" s="271">
        <v>0</v>
      </c>
      <c r="AF31" s="273">
        <f t="shared" si="0"/>
        <v>331.10500000000002</v>
      </c>
    </row>
    <row r="32" spans="1:32" ht="51.75" thickBot="1" x14ac:dyDescent="0.3">
      <c r="A32" s="200">
        <v>27</v>
      </c>
      <c r="B32" s="201" t="str">
        <f>'№2 ИП ТС'!B57</f>
        <v>Строительство сетей водоснабжения в п. Верхний Ландех, в районе пер. Школьный, д. 2</v>
      </c>
      <c r="C32" s="201" t="str">
        <f>'№2 ИП ТС'!E57</f>
        <v>п. Верхний Ландех, в районе пер. Школьный, д. 2</v>
      </c>
      <c r="D32" s="271">
        <v>0</v>
      </c>
      <c r="E32" s="271">
        <v>0</v>
      </c>
      <c r="F32" s="271">
        <v>0</v>
      </c>
      <c r="G32" s="271">
        <v>0</v>
      </c>
      <c r="H32" s="271">
        <v>0</v>
      </c>
      <c r="I32" s="271">
        <v>0</v>
      </c>
      <c r="J32" s="271">
        <v>0</v>
      </c>
      <c r="K32" s="272">
        <f>'№2 ИП ТС'!R57</f>
        <v>438.80399999999997</v>
      </c>
      <c r="L32" s="271">
        <v>0</v>
      </c>
      <c r="M32" s="271">
        <v>0</v>
      </c>
      <c r="N32" s="271">
        <v>0</v>
      </c>
      <c r="O32" s="271">
        <v>0</v>
      </c>
      <c r="P32" s="271">
        <v>0</v>
      </c>
      <c r="Q32" s="271">
        <v>0</v>
      </c>
      <c r="R32" s="271">
        <v>0</v>
      </c>
      <c r="S32" s="271">
        <v>0</v>
      </c>
      <c r="T32" s="271">
        <v>0</v>
      </c>
      <c r="U32" s="271">
        <v>0</v>
      </c>
      <c r="V32" s="271">
        <v>0</v>
      </c>
      <c r="W32" s="271">
        <v>0</v>
      </c>
      <c r="X32" s="271">
        <v>0</v>
      </c>
      <c r="Y32" s="271">
        <v>0</v>
      </c>
      <c r="Z32" s="271">
        <v>0</v>
      </c>
      <c r="AA32" s="271">
        <v>0</v>
      </c>
      <c r="AB32" s="271">
        <v>0</v>
      </c>
      <c r="AC32" s="271">
        <v>0</v>
      </c>
      <c r="AD32" s="271">
        <v>0</v>
      </c>
      <c r="AE32" s="271">
        <v>0</v>
      </c>
      <c r="AF32" s="273">
        <f t="shared" si="0"/>
        <v>438.80399999999997</v>
      </c>
    </row>
    <row r="33" spans="1:32" ht="51.75" thickBot="1" x14ac:dyDescent="0.3">
      <c r="A33" s="200">
        <v>28</v>
      </c>
      <c r="B33" s="201" t="str">
        <f>'№2 ИП ТС'!B58</f>
        <v>Строительство сетей водоотведения в п. Верхний Ландех, в районе пер. Школьный, д. 2</v>
      </c>
      <c r="C33" s="201" t="str">
        <f>'№2 ИП ТС'!E58</f>
        <v>п. Верхний Ландех, в районе пер. Школьный, д 2</v>
      </c>
      <c r="D33" s="271">
        <v>0</v>
      </c>
      <c r="E33" s="271">
        <v>0</v>
      </c>
      <c r="F33" s="271">
        <v>0</v>
      </c>
      <c r="G33" s="271">
        <v>0</v>
      </c>
      <c r="H33" s="271">
        <v>0</v>
      </c>
      <c r="I33" s="271">
        <v>0</v>
      </c>
      <c r="J33" s="271">
        <v>0</v>
      </c>
      <c r="K33" s="272">
        <f>'№2 ИП ТС'!R58</f>
        <v>443.54</v>
      </c>
      <c r="L33" s="271">
        <v>0</v>
      </c>
      <c r="M33" s="271">
        <v>0</v>
      </c>
      <c r="N33" s="271">
        <v>0</v>
      </c>
      <c r="O33" s="271">
        <v>0</v>
      </c>
      <c r="P33" s="271">
        <v>0</v>
      </c>
      <c r="Q33" s="271">
        <v>0</v>
      </c>
      <c r="R33" s="271">
        <v>0</v>
      </c>
      <c r="S33" s="271">
        <v>0</v>
      </c>
      <c r="T33" s="271">
        <v>0</v>
      </c>
      <c r="U33" s="271">
        <v>0</v>
      </c>
      <c r="V33" s="271">
        <v>0</v>
      </c>
      <c r="W33" s="271">
        <v>0</v>
      </c>
      <c r="X33" s="271">
        <v>0</v>
      </c>
      <c r="Y33" s="271">
        <v>0</v>
      </c>
      <c r="Z33" s="271">
        <v>0</v>
      </c>
      <c r="AA33" s="271">
        <v>0</v>
      </c>
      <c r="AB33" s="271">
        <v>0</v>
      </c>
      <c r="AC33" s="271">
        <v>0</v>
      </c>
      <c r="AD33" s="271">
        <v>0</v>
      </c>
      <c r="AE33" s="271">
        <v>0</v>
      </c>
      <c r="AF33" s="273">
        <f t="shared" si="0"/>
        <v>443.54</v>
      </c>
    </row>
    <row r="34" spans="1:32" ht="39" thickBot="1" x14ac:dyDescent="0.3">
      <c r="A34" s="200">
        <v>29</v>
      </c>
      <c r="B34" s="201" t="str">
        <f>'№2 ИП ТС'!B59</f>
        <v>Строительство электрических сетей в п. Верхний Ландех, в районе пер. Школьный, д. 2</v>
      </c>
      <c r="C34" s="201" t="str">
        <f>'№2 ИП ТС'!E59</f>
        <v>п. Верхний Ландех, в районе пер. Школьный, д. 2</v>
      </c>
      <c r="D34" s="271">
        <v>0</v>
      </c>
      <c r="E34" s="271">
        <v>0</v>
      </c>
      <c r="F34" s="271">
        <v>0</v>
      </c>
      <c r="G34" s="271">
        <v>0</v>
      </c>
      <c r="H34" s="271">
        <v>0</v>
      </c>
      <c r="I34" s="271">
        <v>0</v>
      </c>
      <c r="J34" s="271">
        <v>0</v>
      </c>
      <c r="K34" s="272">
        <f>'№2 ИП ТС'!R59</f>
        <v>183.601</v>
      </c>
      <c r="L34" s="271">
        <v>0</v>
      </c>
      <c r="M34" s="271">
        <v>0</v>
      </c>
      <c r="N34" s="271">
        <v>0</v>
      </c>
      <c r="O34" s="271">
        <v>0</v>
      </c>
      <c r="P34" s="271">
        <v>0</v>
      </c>
      <c r="Q34" s="271">
        <v>0</v>
      </c>
      <c r="R34" s="271">
        <v>0</v>
      </c>
      <c r="S34" s="271">
        <v>0</v>
      </c>
      <c r="T34" s="271">
        <v>0</v>
      </c>
      <c r="U34" s="271">
        <v>0</v>
      </c>
      <c r="V34" s="271">
        <v>0</v>
      </c>
      <c r="W34" s="271">
        <v>0</v>
      </c>
      <c r="X34" s="271">
        <v>0</v>
      </c>
      <c r="Y34" s="271">
        <v>0</v>
      </c>
      <c r="Z34" s="271">
        <v>0</v>
      </c>
      <c r="AA34" s="271">
        <v>0</v>
      </c>
      <c r="AB34" s="271">
        <v>0</v>
      </c>
      <c r="AC34" s="271">
        <v>0</v>
      </c>
      <c r="AD34" s="271">
        <v>0</v>
      </c>
      <c r="AE34" s="271">
        <v>0</v>
      </c>
      <c r="AF34" s="273">
        <f t="shared" si="0"/>
        <v>183.601</v>
      </c>
    </row>
    <row r="35" spans="1:32" ht="77.25" thickBot="1" x14ac:dyDescent="0.3">
      <c r="A35" s="200">
        <v>30</v>
      </c>
      <c r="B35" s="201" t="str">
        <f>'№2 ИП ТС'!B60</f>
        <v>Строительство надземного участка тепловых сетей от БМК 0,4 МВт до У-1 D=89 мм, L=45м (в 2-х трубном исчислении) в п. Верхний Ландех в районе пер. Школьный,д. 2</v>
      </c>
      <c r="C35" s="201" t="str">
        <f>'№2 ИП ТС'!E60</f>
        <v>п. Верхний Ландех, в районе пер. Школьный, д. 2 на земельном участке: 37:01:020102:15</v>
      </c>
      <c r="D35" s="271">
        <v>0</v>
      </c>
      <c r="E35" s="271">
        <v>0</v>
      </c>
      <c r="F35" s="271">
        <v>0</v>
      </c>
      <c r="G35" s="271">
        <v>0</v>
      </c>
      <c r="H35" s="271">
        <v>0</v>
      </c>
      <c r="I35" s="271">
        <v>0</v>
      </c>
      <c r="J35" s="271">
        <v>0</v>
      </c>
      <c r="K35" s="272">
        <f>'№2 ИП ТС'!R60</f>
        <v>910.89400000000001</v>
      </c>
      <c r="L35" s="271">
        <v>0</v>
      </c>
      <c r="M35" s="271">
        <v>0</v>
      </c>
      <c r="N35" s="271">
        <v>0</v>
      </c>
      <c r="O35" s="271">
        <v>0</v>
      </c>
      <c r="P35" s="271">
        <v>0</v>
      </c>
      <c r="Q35" s="271">
        <v>0</v>
      </c>
      <c r="R35" s="271">
        <v>0</v>
      </c>
      <c r="S35" s="271">
        <v>0</v>
      </c>
      <c r="T35" s="271">
        <v>0</v>
      </c>
      <c r="U35" s="271">
        <v>0</v>
      </c>
      <c r="V35" s="271">
        <v>0</v>
      </c>
      <c r="W35" s="271">
        <v>0</v>
      </c>
      <c r="X35" s="271">
        <v>0</v>
      </c>
      <c r="Y35" s="271">
        <v>0</v>
      </c>
      <c r="Z35" s="271">
        <v>0</v>
      </c>
      <c r="AA35" s="271">
        <v>0</v>
      </c>
      <c r="AB35" s="271">
        <v>0</v>
      </c>
      <c r="AC35" s="271">
        <v>0</v>
      </c>
      <c r="AD35" s="271">
        <v>0</v>
      </c>
      <c r="AE35" s="271">
        <v>0</v>
      </c>
      <c r="AF35" s="273">
        <f t="shared" si="0"/>
        <v>910.89400000000001</v>
      </c>
    </row>
    <row r="36" spans="1:32" ht="65.25" thickBot="1" x14ac:dyDescent="0.3">
      <c r="A36" s="200">
        <v>31</v>
      </c>
      <c r="B36" s="203" t="str">
        <f>'№2 ИП ТС'!B64</f>
        <v>Реконструкция участка сети от ТК-6 до ул. Рабочая, д. 3, Дн25 мм длиной 5 м (прокладка подземная канальная) котельная № 1 п. Верхний Ландех</v>
      </c>
      <c r="C36" s="151" t="str">
        <f>'№2 ИП ТС'!E64</f>
        <v>п. Верхний Ландех, тепловая сеть от котельной №1 по ул. Новая, д. 1А</v>
      </c>
      <c r="D36" s="271">
        <v>0</v>
      </c>
      <c r="E36" s="271">
        <v>0</v>
      </c>
      <c r="F36" s="271">
        <v>0</v>
      </c>
      <c r="G36" s="271">
        <v>0</v>
      </c>
      <c r="H36" s="271">
        <v>0</v>
      </c>
      <c r="I36" s="271">
        <v>0</v>
      </c>
      <c r="J36" s="271">
        <v>0</v>
      </c>
      <c r="K36" s="271">
        <v>0</v>
      </c>
      <c r="L36" s="271">
        <v>0</v>
      </c>
      <c r="M36" s="271">
        <v>0</v>
      </c>
      <c r="N36" s="271">
        <v>0</v>
      </c>
      <c r="O36" s="272">
        <f>'№2 ИП ТС'!R64</f>
        <v>98.135999999999996</v>
      </c>
      <c r="P36" s="271">
        <v>0</v>
      </c>
      <c r="Q36" s="271">
        <v>0</v>
      </c>
      <c r="R36" s="271">
        <v>0</v>
      </c>
      <c r="S36" s="271">
        <v>0</v>
      </c>
      <c r="T36" s="271">
        <v>0</v>
      </c>
      <c r="U36" s="271">
        <v>0</v>
      </c>
      <c r="V36" s="271">
        <v>0</v>
      </c>
      <c r="W36" s="271">
        <v>0</v>
      </c>
      <c r="X36" s="271">
        <v>0</v>
      </c>
      <c r="Y36" s="271">
        <v>0</v>
      </c>
      <c r="Z36" s="271">
        <v>0</v>
      </c>
      <c r="AA36" s="271">
        <v>0</v>
      </c>
      <c r="AB36" s="271">
        <v>0</v>
      </c>
      <c r="AC36" s="271">
        <v>0</v>
      </c>
      <c r="AD36" s="271">
        <v>0</v>
      </c>
      <c r="AE36" s="271">
        <v>0</v>
      </c>
      <c r="AF36" s="273">
        <f t="shared" si="0"/>
        <v>98.135999999999996</v>
      </c>
    </row>
    <row r="37" spans="1:32" ht="65.25" thickBot="1" x14ac:dyDescent="0.3">
      <c r="A37" s="200">
        <v>32</v>
      </c>
      <c r="B37" s="203" t="str">
        <f>'№2 ИП ТС'!B65</f>
        <v>Реконструкция участка сети от ТК-8 до ул. Рабочая, д. 9, Дн25 мм длиной 18,1 м (прокладка подземная канальная) котельная № 1 п.Верхний Ландех</v>
      </c>
      <c r="C37" s="151" t="str">
        <f>'№2 ИП ТС'!E65</f>
        <v>п. Верхний Ландех, тепловая сеть от котельной № 1 по ул. Новая, д. 1А</v>
      </c>
      <c r="D37" s="271">
        <v>0</v>
      </c>
      <c r="E37" s="271">
        <v>0</v>
      </c>
      <c r="F37" s="271">
        <v>0</v>
      </c>
      <c r="G37" s="271">
        <v>0</v>
      </c>
      <c r="H37" s="271">
        <v>0</v>
      </c>
      <c r="I37" s="271">
        <v>0</v>
      </c>
      <c r="J37" s="271">
        <v>0</v>
      </c>
      <c r="K37" s="271">
        <v>0</v>
      </c>
      <c r="L37" s="271">
        <v>0</v>
      </c>
      <c r="M37" s="271">
        <v>0</v>
      </c>
      <c r="N37" s="271">
        <v>0</v>
      </c>
      <c r="O37" s="272">
        <f>'№2 ИП ТС'!R65</f>
        <v>182.21199999999999</v>
      </c>
      <c r="P37" s="271">
        <v>0</v>
      </c>
      <c r="Q37" s="271">
        <v>0</v>
      </c>
      <c r="R37" s="271">
        <v>0</v>
      </c>
      <c r="S37" s="271">
        <v>0</v>
      </c>
      <c r="T37" s="271">
        <v>0</v>
      </c>
      <c r="U37" s="271">
        <v>0</v>
      </c>
      <c r="V37" s="271">
        <v>0</v>
      </c>
      <c r="W37" s="271">
        <v>0</v>
      </c>
      <c r="X37" s="271">
        <v>0</v>
      </c>
      <c r="Y37" s="271">
        <v>0</v>
      </c>
      <c r="Z37" s="271">
        <v>0</v>
      </c>
      <c r="AA37" s="271">
        <v>0</v>
      </c>
      <c r="AB37" s="271">
        <v>0</v>
      </c>
      <c r="AC37" s="271">
        <v>0</v>
      </c>
      <c r="AD37" s="271">
        <v>0</v>
      </c>
      <c r="AE37" s="271">
        <v>0</v>
      </c>
      <c r="AF37" s="273">
        <f t="shared" si="0"/>
        <v>182.21199999999999</v>
      </c>
    </row>
    <row r="38" spans="1:32" ht="52.5" thickBot="1" x14ac:dyDescent="0.3">
      <c r="A38" s="200">
        <v>33</v>
      </c>
      <c r="B38" s="203" t="str">
        <f>'№2 ИП ТС'!B66</f>
        <v>Реконструкция участка сети от ТК-7 до ТК-8, Дн32 мм длиной 21,4 м (надземная прокладка) котельная № 1 п. Верхний Ландех</v>
      </c>
      <c r="C38" s="151" t="str">
        <f>'№2 ИП ТС'!E66</f>
        <v>п. Верхний Ландех, тепловая сеть от котельной № 1 по ул. Новая, д.1А</v>
      </c>
      <c r="D38" s="271">
        <v>0</v>
      </c>
      <c r="E38" s="271">
        <v>0</v>
      </c>
      <c r="F38" s="271">
        <v>0</v>
      </c>
      <c r="G38" s="271">
        <v>0</v>
      </c>
      <c r="H38" s="271">
        <v>0</v>
      </c>
      <c r="I38" s="271">
        <v>0</v>
      </c>
      <c r="J38" s="271">
        <v>0</v>
      </c>
      <c r="K38" s="271">
        <v>0</v>
      </c>
      <c r="L38" s="271">
        <v>0</v>
      </c>
      <c r="M38" s="271">
        <v>0</v>
      </c>
      <c r="N38" s="271">
        <v>0</v>
      </c>
      <c r="O38" s="272">
        <f>'№2 ИП ТС'!R66</f>
        <v>210.73</v>
      </c>
      <c r="P38" s="271">
        <v>0</v>
      </c>
      <c r="Q38" s="271">
        <v>0</v>
      </c>
      <c r="R38" s="271">
        <v>0</v>
      </c>
      <c r="S38" s="271">
        <v>0</v>
      </c>
      <c r="T38" s="271">
        <v>0</v>
      </c>
      <c r="U38" s="271">
        <v>0</v>
      </c>
      <c r="V38" s="271">
        <v>0</v>
      </c>
      <c r="W38" s="271">
        <v>0</v>
      </c>
      <c r="X38" s="271">
        <v>0</v>
      </c>
      <c r="Y38" s="271">
        <v>0</v>
      </c>
      <c r="Z38" s="271">
        <v>0</v>
      </c>
      <c r="AA38" s="271">
        <v>0</v>
      </c>
      <c r="AB38" s="271">
        <v>0</v>
      </c>
      <c r="AC38" s="271">
        <v>0</v>
      </c>
      <c r="AD38" s="271">
        <v>0</v>
      </c>
      <c r="AE38" s="271">
        <v>0</v>
      </c>
      <c r="AF38" s="273">
        <f t="shared" si="0"/>
        <v>210.73</v>
      </c>
    </row>
    <row r="39" spans="1:32" ht="65.25" thickBot="1" x14ac:dyDescent="0.3">
      <c r="A39" s="200">
        <v>34</v>
      </c>
      <c r="B39" s="203" t="str">
        <f>'№2 ИП ТС'!B67</f>
        <v>Реконструкция участка сети от ТК-5 до ул. Комсомольская, д. 6, Дн38 мм длиной 63,7 м (прокладка подземная канальная) котельная № 1 п. Верхний Ландех</v>
      </c>
      <c r="C39" s="151" t="str">
        <f>'№2 ИП ТС'!E67</f>
        <v>п. Верхний Ландех, тепловая сеть от котельной № 1 по ул. Новая, д.1А</v>
      </c>
      <c r="D39" s="271">
        <v>0</v>
      </c>
      <c r="E39" s="271">
        <v>0</v>
      </c>
      <c r="F39" s="271">
        <v>0</v>
      </c>
      <c r="G39" s="271">
        <v>0</v>
      </c>
      <c r="H39" s="271">
        <v>0</v>
      </c>
      <c r="I39" s="271">
        <v>0</v>
      </c>
      <c r="J39" s="271">
        <v>0</v>
      </c>
      <c r="K39" s="271">
        <v>0</v>
      </c>
      <c r="L39" s="271">
        <v>0</v>
      </c>
      <c r="M39" s="271">
        <v>0</v>
      </c>
      <c r="N39" s="271">
        <v>0</v>
      </c>
      <c r="O39" s="272">
        <f>'№2 ИП ТС'!R67</f>
        <v>570.37099999999998</v>
      </c>
      <c r="P39" s="271">
        <v>0</v>
      </c>
      <c r="Q39" s="271">
        <v>0</v>
      </c>
      <c r="R39" s="271">
        <v>0</v>
      </c>
      <c r="S39" s="271">
        <v>0</v>
      </c>
      <c r="T39" s="271">
        <v>0</v>
      </c>
      <c r="U39" s="271">
        <v>0</v>
      </c>
      <c r="V39" s="271">
        <v>0</v>
      </c>
      <c r="W39" s="271">
        <v>0</v>
      </c>
      <c r="X39" s="271">
        <v>0</v>
      </c>
      <c r="Y39" s="271">
        <v>0</v>
      </c>
      <c r="Z39" s="271">
        <v>0</v>
      </c>
      <c r="AA39" s="271">
        <v>0</v>
      </c>
      <c r="AB39" s="271">
        <v>0</v>
      </c>
      <c r="AC39" s="271">
        <v>0</v>
      </c>
      <c r="AD39" s="271">
        <v>0</v>
      </c>
      <c r="AE39" s="271">
        <v>0</v>
      </c>
      <c r="AF39" s="273">
        <f t="shared" si="0"/>
        <v>570.37099999999998</v>
      </c>
    </row>
    <row r="40" spans="1:32" ht="52.5" thickBot="1" x14ac:dyDescent="0.3">
      <c r="A40" s="200">
        <v>35</v>
      </c>
      <c r="B40" s="203" t="str">
        <f>'№2 ИП ТС'!B68</f>
        <v>Реконструкция участка сети от У-30 до У-31, Дн45 мм длиной 6,2 м (надземная прокладка) котельная № 1 п. Верхний Ландех</v>
      </c>
      <c r="C40" s="151" t="str">
        <f>'№2 ИП ТС'!E68</f>
        <v>п. Верхний Ландех, тепловая сеть от котельной № 1 по ул. Новая, д.1А</v>
      </c>
      <c r="D40" s="271">
        <v>0</v>
      </c>
      <c r="E40" s="271">
        <v>0</v>
      </c>
      <c r="F40" s="271">
        <v>0</v>
      </c>
      <c r="G40" s="271">
        <v>0</v>
      </c>
      <c r="H40" s="271">
        <v>0</v>
      </c>
      <c r="I40" s="271">
        <v>0</v>
      </c>
      <c r="J40" s="271">
        <v>0</v>
      </c>
      <c r="K40" s="271">
        <v>0</v>
      </c>
      <c r="L40" s="271">
        <v>0</v>
      </c>
      <c r="M40" s="271">
        <v>0</v>
      </c>
      <c r="N40" s="271">
        <v>0</v>
      </c>
      <c r="O40" s="272">
        <f>'№2 ИП ТС'!R68</f>
        <v>64.433000000000007</v>
      </c>
      <c r="P40" s="271">
        <v>0</v>
      </c>
      <c r="Q40" s="271">
        <v>0</v>
      </c>
      <c r="R40" s="271">
        <v>0</v>
      </c>
      <c r="S40" s="271">
        <v>0</v>
      </c>
      <c r="T40" s="271">
        <v>0</v>
      </c>
      <c r="U40" s="271">
        <v>0</v>
      </c>
      <c r="V40" s="271">
        <v>0</v>
      </c>
      <c r="W40" s="271">
        <v>0</v>
      </c>
      <c r="X40" s="271">
        <v>0</v>
      </c>
      <c r="Y40" s="271">
        <v>0</v>
      </c>
      <c r="Z40" s="271">
        <v>0</v>
      </c>
      <c r="AA40" s="271">
        <v>0</v>
      </c>
      <c r="AB40" s="271">
        <v>0</v>
      </c>
      <c r="AC40" s="271">
        <v>0</v>
      </c>
      <c r="AD40" s="271">
        <v>0</v>
      </c>
      <c r="AE40" s="271">
        <v>0</v>
      </c>
      <c r="AF40" s="273">
        <f t="shared" si="0"/>
        <v>64.433000000000007</v>
      </c>
    </row>
    <row r="41" spans="1:32" ht="52.5" thickBot="1" x14ac:dyDescent="0.3">
      <c r="A41" s="200">
        <v>36</v>
      </c>
      <c r="B41" s="203" t="str">
        <f>'№2 ИП ТС'!B69</f>
        <v>Реконструкция участка сети от У-31 до У-31А, Дн45 мм длиной 38 м (надземная прокладка) котельная № 1 п. Верхний Ландех</v>
      </c>
      <c r="C41" s="151" t="str">
        <f>'№2 ИП ТС'!E69</f>
        <v>п. Верхний Ландех, тепловая сеть от котельной № 1 по ул. Новая, д.1А</v>
      </c>
      <c r="D41" s="271">
        <v>0</v>
      </c>
      <c r="E41" s="271">
        <v>0</v>
      </c>
      <c r="F41" s="271">
        <v>0</v>
      </c>
      <c r="G41" s="271">
        <v>0</v>
      </c>
      <c r="H41" s="271">
        <v>0</v>
      </c>
      <c r="I41" s="271">
        <v>0</v>
      </c>
      <c r="J41" s="271">
        <v>0</v>
      </c>
      <c r="K41" s="271">
        <v>0</v>
      </c>
      <c r="L41" s="271">
        <v>0</v>
      </c>
      <c r="M41" s="271">
        <v>0</v>
      </c>
      <c r="N41" s="271">
        <v>0</v>
      </c>
      <c r="O41" s="272">
        <f>'№2 ИП ТС'!R69</f>
        <v>446.64100000000002</v>
      </c>
      <c r="P41" s="271">
        <v>0</v>
      </c>
      <c r="Q41" s="271">
        <v>0</v>
      </c>
      <c r="R41" s="271">
        <v>0</v>
      </c>
      <c r="S41" s="271">
        <v>0</v>
      </c>
      <c r="T41" s="271">
        <v>0</v>
      </c>
      <c r="U41" s="271">
        <v>0</v>
      </c>
      <c r="V41" s="271">
        <v>0</v>
      </c>
      <c r="W41" s="271">
        <v>0</v>
      </c>
      <c r="X41" s="271">
        <v>0</v>
      </c>
      <c r="Y41" s="271">
        <v>0</v>
      </c>
      <c r="Z41" s="271">
        <v>0</v>
      </c>
      <c r="AA41" s="271">
        <v>0</v>
      </c>
      <c r="AB41" s="271">
        <v>0</v>
      </c>
      <c r="AC41" s="271">
        <v>0</v>
      </c>
      <c r="AD41" s="271">
        <v>0</v>
      </c>
      <c r="AE41" s="271">
        <v>0</v>
      </c>
      <c r="AF41" s="273">
        <f t="shared" si="0"/>
        <v>446.64100000000002</v>
      </c>
    </row>
    <row r="42" spans="1:32" ht="65.25" thickBot="1" x14ac:dyDescent="0.3">
      <c r="A42" s="200">
        <v>37</v>
      </c>
      <c r="B42" s="203" t="str">
        <f>'№2 ИП ТС'!B70</f>
        <v>Реконструкция участка сети от У-31А до ТК-6, Дн45 мм длиной 71 м (прокладка подземная канальная) котельная № 1 п. Верхний Ландех</v>
      </c>
      <c r="C42" s="151" t="str">
        <f>'№2 ИП ТС'!E70</f>
        <v>п. Верхний Ландех, тепловая сеть от котельной № 1 по ул. Новая, д. 1А</v>
      </c>
      <c r="D42" s="271">
        <v>0</v>
      </c>
      <c r="E42" s="271">
        <v>0</v>
      </c>
      <c r="F42" s="271">
        <v>0</v>
      </c>
      <c r="G42" s="271">
        <v>0</v>
      </c>
      <c r="H42" s="271">
        <v>0</v>
      </c>
      <c r="I42" s="271">
        <v>0</v>
      </c>
      <c r="J42" s="271">
        <v>0</v>
      </c>
      <c r="K42" s="271">
        <v>0</v>
      </c>
      <c r="L42" s="271">
        <v>0</v>
      </c>
      <c r="M42" s="271">
        <v>0</v>
      </c>
      <c r="N42" s="271">
        <v>0</v>
      </c>
      <c r="O42" s="272">
        <f>'№2 ИП ТС'!R70</f>
        <v>732.827</v>
      </c>
      <c r="P42" s="271">
        <v>0</v>
      </c>
      <c r="Q42" s="271">
        <v>0</v>
      </c>
      <c r="R42" s="271">
        <v>0</v>
      </c>
      <c r="S42" s="271">
        <v>0</v>
      </c>
      <c r="T42" s="271">
        <v>0</v>
      </c>
      <c r="U42" s="271">
        <v>0</v>
      </c>
      <c r="V42" s="271">
        <v>0</v>
      </c>
      <c r="W42" s="271">
        <v>0</v>
      </c>
      <c r="X42" s="271">
        <v>0</v>
      </c>
      <c r="Y42" s="271">
        <v>0</v>
      </c>
      <c r="Z42" s="271">
        <v>0</v>
      </c>
      <c r="AA42" s="271">
        <v>0</v>
      </c>
      <c r="AB42" s="271">
        <v>0</v>
      </c>
      <c r="AC42" s="271">
        <v>0</v>
      </c>
      <c r="AD42" s="271">
        <v>0</v>
      </c>
      <c r="AE42" s="271">
        <v>0</v>
      </c>
      <c r="AF42" s="273">
        <f t="shared" si="0"/>
        <v>732.827</v>
      </c>
    </row>
    <row r="43" spans="1:32" ht="65.25" thickBot="1" x14ac:dyDescent="0.3">
      <c r="A43" s="200">
        <v>38</v>
      </c>
      <c r="B43" s="203" t="str">
        <f>'№2 ИП ТС'!B71</f>
        <v>Реконструкция участка сети от ТК-6 до У-32, Дн45 мм длиной 7,3 м (прокладка подземная канальная) котельная № 1 п. Верхний Ландех</v>
      </c>
      <c r="C43" s="151" t="str">
        <f>'№2 ИП ТС'!E71</f>
        <v>п. Верхний Ландех, тепловая сеть от котельной № 1 по ул. Новая, д. 1А</v>
      </c>
      <c r="D43" s="271">
        <v>0</v>
      </c>
      <c r="E43" s="271">
        <v>0</v>
      </c>
      <c r="F43" s="271">
        <v>0</v>
      </c>
      <c r="G43" s="271">
        <v>0</v>
      </c>
      <c r="H43" s="271">
        <v>0</v>
      </c>
      <c r="I43" s="271">
        <v>0</v>
      </c>
      <c r="J43" s="271">
        <v>0</v>
      </c>
      <c r="K43" s="271">
        <v>0</v>
      </c>
      <c r="L43" s="271">
        <v>0</v>
      </c>
      <c r="M43" s="271">
        <v>0</v>
      </c>
      <c r="N43" s="271">
        <v>0</v>
      </c>
      <c r="O43" s="272">
        <f>'№2 ИП ТС'!R71</f>
        <v>94.296999999999997</v>
      </c>
      <c r="P43" s="271">
        <v>0</v>
      </c>
      <c r="Q43" s="271">
        <v>0</v>
      </c>
      <c r="R43" s="271">
        <v>0</v>
      </c>
      <c r="S43" s="271">
        <v>0</v>
      </c>
      <c r="T43" s="271">
        <v>0</v>
      </c>
      <c r="U43" s="271">
        <v>0</v>
      </c>
      <c r="V43" s="271">
        <v>0</v>
      </c>
      <c r="W43" s="271">
        <v>0</v>
      </c>
      <c r="X43" s="271">
        <v>0</v>
      </c>
      <c r="Y43" s="271">
        <v>0</v>
      </c>
      <c r="Z43" s="271">
        <v>0</v>
      </c>
      <c r="AA43" s="271">
        <v>0</v>
      </c>
      <c r="AB43" s="271">
        <v>0</v>
      </c>
      <c r="AC43" s="271">
        <v>0</v>
      </c>
      <c r="AD43" s="271">
        <v>0</v>
      </c>
      <c r="AE43" s="271">
        <v>0</v>
      </c>
      <c r="AF43" s="273">
        <f t="shared" si="0"/>
        <v>94.296999999999997</v>
      </c>
    </row>
    <row r="44" spans="1:32" ht="65.25" thickBot="1" x14ac:dyDescent="0.3">
      <c r="A44" s="200">
        <v>39</v>
      </c>
      <c r="B44" s="203" t="str">
        <f>'№2 ИП ТС'!B72</f>
        <v>Реконструкция участка сети от У-34 до ТК-7, Дн45 мм длиной 9,5 м (прокладка подземная канальная с выносом на поверхность) котельная № 1 п. Верхний Ландех</v>
      </c>
      <c r="C44" s="151" t="str">
        <f>'№2 ИП ТС'!E72</f>
        <v>п. Верхний Ландех, тепловая сеть от котельной № 1 по ул. Новая, д. 1А</v>
      </c>
      <c r="D44" s="271">
        <v>0</v>
      </c>
      <c r="E44" s="271">
        <v>0</v>
      </c>
      <c r="F44" s="271">
        <v>0</v>
      </c>
      <c r="G44" s="271">
        <v>0</v>
      </c>
      <c r="H44" s="271">
        <v>0</v>
      </c>
      <c r="I44" s="271">
        <v>0</v>
      </c>
      <c r="J44" s="271">
        <v>0</v>
      </c>
      <c r="K44" s="271">
        <v>0</v>
      </c>
      <c r="L44" s="271">
        <v>0</v>
      </c>
      <c r="M44" s="271">
        <v>0</v>
      </c>
      <c r="N44" s="271">
        <v>0</v>
      </c>
      <c r="O44" s="272">
        <f>'№2 ИП ТС'!R72</f>
        <v>185.27199999999999</v>
      </c>
      <c r="P44" s="271">
        <v>0</v>
      </c>
      <c r="Q44" s="271">
        <v>0</v>
      </c>
      <c r="R44" s="271">
        <v>0</v>
      </c>
      <c r="S44" s="271">
        <v>0</v>
      </c>
      <c r="T44" s="271">
        <v>0</v>
      </c>
      <c r="U44" s="271">
        <v>0</v>
      </c>
      <c r="V44" s="271">
        <v>0</v>
      </c>
      <c r="W44" s="271">
        <v>0</v>
      </c>
      <c r="X44" s="271">
        <v>0</v>
      </c>
      <c r="Y44" s="271">
        <v>0</v>
      </c>
      <c r="Z44" s="271">
        <v>0</v>
      </c>
      <c r="AA44" s="271">
        <v>0</v>
      </c>
      <c r="AB44" s="271">
        <v>0</v>
      </c>
      <c r="AC44" s="271">
        <v>0</v>
      </c>
      <c r="AD44" s="271">
        <v>0</v>
      </c>
      <c r="AE44" s="271">
        <v>0</v>
      </c>
      <c r="AF44" s="273">
        <f t="shared" si="0"/>
        <v>185.27199999999999</v>
      </c>
    </row>
    <row r="45" spans="1:32" ht="52.5" thickBot="1" x14ac:dyDescent="0.3">
      <c r="A45" s="200">
        <v>40</v>
      </c>
      <c r="B45" s="203" t="str">
        <f>'№2 ИП ТС'!B73</f>
        <v>Реконструкция тепловых сетей в п. Верхний Ландех, ул. Новая, 1А , от У-29 до ТК-5, L=13м, Дн76мм, надземная прокладка</v>
      </c>
      <c r="C45" s="151" t="str">
        <f>'№2 ИП ТС'!E73</f>
        <v>п. Верхний Ландех, тепловая сеть от котельной № 1 по ул. Новая, д. 1А</v>
      </c>
      <c r="D45" s="271">
        <v>0</v>
      </c>
      <c r="E45" s="271">
        <v>0</v>
      </c>
      <c r="F45" s="271">
        <v>0</v>
      </c>
      <c r="G45" s="271">
        <v>0</v>
      </c>
      <c r="H45" s="271">
        <v>0</v>
      </c>
      <c r="I45" s="271">
        <v>0</v>
      </c>
      <c r="J45" s="271">
        <v>0</v>
      </c>
      <c r="K45" s="271">
        <v>0</v>
      </c>
      <c r="L45" s="271">
        <v>0</v>
      </c>
      <c r="M45" s="271">
        <v>0</v>
      </c>
      <c r="N45" s="271">
        <v>0</v>
      </c>
      <c r="O45" s="272">
        <f>'№2 ИП ТС'!R73</f>
        <v>275.25</v>
      </c>
      <c r="P45" s="271">
        <v>0</v>
      </c>
      <c r="Q45" s="271">
        <v>0</v>
      </c>
      <c r="R45" s="271">
        <v>0</v>
      </c>
      <c r="S45" s="271">
        <v>0</v>
      </c>
      <c r="T45" s="271">
        <v>0</v>
      </c>
      <c r="U45" s="271">
        <v>0</v>
      </c>
      <c r="V45" s="271">
        <v>0</v>
      </c>
      <c r="W45" s="271">
        <v>0</v>
      </c>
      <c r="X45" s="271">
        <v>0</v>
      </c>
      <c r="Y45" s="271">
        <v>0</v>
      </c>
      <c r="Z45" s="271">
        <v>0</v>
      </c>
      <c r="AA45" s="271">
        <v>0</v>
      </c>
      <c r="AB45" s="271">
        <v>0</v>
      </c>
      <c r="AC45" s="271">
        <v>0</v>
      </c>
      <c r="AD45" s="271">
        <v>0</v>
      </c>
      <c r="AE45" s="271">
        <v>0</v>
      </c>
      <c r="AF45" s="273">
        <f t="shared" si="0"/>
        <v>275.25</v>
      </c>
    </row>
    <row r="46" spans="1:32" ht="65.25" thickBot="1" x14ac:dyDescent="0.3">
      <c r="A46" s="200">
        <v>41</v>
      </c>
      <c r="B46" s="203" t="str">
        <f>'№2 ИП ТС'!B74</f>
        <v>Реконструкция тепловых сетей в п.Верхний Ландех, ул. Новая, 1А , от У-14 до ул.Восточная, д. 1А (д/с), L=15м, Дн76мм, надземная прокладка</v>
      </c>
      <c r="C46" s="151" t="str">
        <f>'№2 ИП ТС'!E74</f>
        <v>п. Верхний Ландех, тепловая сеть от котельной № 1 по ул. Новая, д. 1А</v>
      </c>
      <c r="D46" s="271">
        <v>0</v>
      </c>
      <c r="E46" s="271">
        <v>0</v>
      </c>
      <c r="F46" s="271">
        <v>0</v>
      </c>
      <c r="G46" s="271">
        <v>0</v>
      </c>
      <c r="H46" s="271">
        <v>0</v>
      </c>
      <c r="I46" s="271">
        <v>0</v>
      </c>
      <c r="J46" s="271">
        <v>0</v>
      </c>
      <c r="K46" s="271">
        <v>0</v>
      </c>
      <c r="L46" s="271">
        <v>0</v>
      </c>
      <c r="M46" s="271">
        <v>0</v>
      </c>
      <c r="N46" s="271">
        <v>0</v>
      </c>
      <c r="O46" s="272">
        <f>'№2 ИП ТС'!R74</f>
        <v>317.59500000000003</v>
      </c>
      <c r="P46" s="271">
        <v>0</v>
      </c>
      <c r="Q46" s="271">
        <v>0</v>
      </c>
      <c r="R46" s="271">
        <v>0</v>
      </c>
      <c r="S46" s="271">
        <v>0</v>
      </c>
      <c r="T46" s="271">
        <v>0</v>
      </c>
      <c r="U46" s="271">
        <v>0</v>
      </c>
      <c r="V46" s="271">
        <v>0</v>
      </c>
      <c r="W46" s="271">
        <v>0</v>
      </c>
      <c r="X46" s="271">
        <v>0</v>
      </c>
      <c r="Y46" s="271">
        <v>0</v>
      </c>
      <c r="Z46" s="271">
        <v>0</v>
      </c>
      <c r="AA46" s="271">
        <v>0</v>
      </c>
      <c r="AB46" s="271">
        <v>0</v>
      </c>
      <c r="AC46" s="271">
        <v>0</v>
      </c>
      <c r="AD46" s="271">
        <v>0</v>
      </c>
      <c r="AE46" s="271">
        <v>0</v>
      </c>
      <c r="AF46" s="273">
        <f t="shared" si="0"/>
        <v>317.59500000000003</v>
      </c>
    </row>
    <row r="47" spans="1:32" ht="65.25" thickBot="1" x14ac:dyDescent="0.3">
      <c r="A47" s="200">
        <v>42</v>
      </c>
      <c r="B47" s="203" t="str">
        <f>'№2 ИП ТС'!B75</f>
        <v>Реконструкция тепловых сетей в п. Верхний Ландех, ул. Новая, 1А , от У-28 до ул. Комсомольская, д.16, L=18м, Ду80мм, канальная прокладка</v>
      </c>
      <c r="C47" s="151" t="str">
        <f>'№2 ИП ТС'!E75</f>
        <v>п. Верхний Ландех, тепловая сеть от котельной № 1 по ул. Новая, д. 1А</v>
      </c>
      <c r="D47" s="271">
        <v>0</v>
      </c>
      <c r="E47" s="271">
        <v>0</v>
      </c>
      <c r="F47" s="271">
        <v>0</v>
      </c>
      <c r="G47" s="271">
        <v>0</v>
      </c>
      <c r="H47" s="271">
        <v>0</v>
      </c>
      <c r="I47" s="271">
        <v>0</v>
      </c>
      <c r="J47" s="271">
        <v>0</v>
      </c>
      <c r="K47" s="271">
        <v>0</v>
      </c>
      <c r="L47" s="271">
        <v>0</v>
      </c>
      <c r="M47" s="271">
        <v>0</v>
      </c>
      <c r="N47" s="271">
        <v>0</v>
      </c>
      <c r="O47" s="272">
        <f>'№2 ИП ТС'!R75</f>
        <v>496.29700000000003</v>
      </c>
      <c r="P47" s="271">
        <v>0</v>
      </c>
      <c r="Q47" s="271">
        <v>0</v>
      </c>
      <c r="R47" s="271">
        <v>0</v>
      </c>
      <c r="S47" s="271">
        <v>0</v>
      </c>
      <c r="T47" s="271">
        <v>0</v>
      </c>
      <c r="U47" s="271">
        <v>0</v>
      </c>
      <c r="V47" s="271">
        <v>0</v>
      </c>
      <c r="W47" s="271">
        <v>0</v>
      </c>
      <c r="X47" s="271">
        <v>0</v>
      </c>
      <c r="Y47" s="271">
        <v>0</v>
      </c>
      <c r="Z47" s="271">
        <v>0</v>
      </c>
      <c r="AA47" s="271">
        <v>0</v>
      </c>
      <c r="AB47" s="271">
        <v>0</v>
      </c>
      <c r="AC47" s="271">
        <v>0</v>
      </c>
      <c r="AD47" s="271">
        <v>0</v>
      </c>
      <c r="AE47" s="271">
        <v>0</v>
      </c>
      <c r="AF47" s="273">
        <f t="shared" si="0"/>
        <v>496.29700000000003</v>
      </c>
    </row>
    <row r="48" spans="1:32" ht="78" thickBot="1" x14ac:dyDescent="0.3">
      <c r="A48" s="200">
        <v>43</v>
      </c>
      <c r="B48" s="203" t="str">
        <f>'№2 ИП ТС'!B76</f>
        <v>Реконструкция тепловых сетей (подземной прокладки с выносом на поверхность) в п. Верхний Ландех, ул. Новая, 1А , от У-28 до У-29, L=65,5м, Дн76мм, надземная прокладка</v>
      </c>
      <c r="C48" s="151" t="str">
        <f>'№2 ИП ТС'!E76</f>
        <v>п. Верхний Ландех, тепловая сеть от котельной № 1 по ул. Новая, д.1А</v>
      </c>
      <c r="D48" s="271">
        <v>0</v>
      </c>
      <c r="E48" s="271">
        <v>0</v>
      </c>
      <c r="F48" s="271">
        <v>0</v>
      </c>
      <c r="G48" s="271">
        <v>0</v>
      </c>
      <c r="H48" s="271">
        <v>0</v>
      </c>
      <c r="I48" s="271">
        <v>0</v>
      </c>
      <c r="J48" s="271">
        <v>0</v>
      </c>
      <c r="K48" s="271">
        <v>0</v>
      </c>
      <c r="L48" s="271">
        <v>0</v>
      </c>
      <c r="M48" s="271">
        <v>0</v>
      </c>
      <c r="N48" s="271">
        <v>0</v>
      </c>
      <c r="O48" s="272">
        <f>'№2 ИП ТС'!R76</f>
        <v>1386.8520000000001</v>
      </c>
      <c r="P48" s="271">
        <v>0</v>
      </c>
      <c r="Q48" s="271">
        <v>0</v>
      </c>
      <c r="R48" s="271">
        <v>0</v>
      </c>
      <c r="S48" s="271">
        <v>0</v>
      </c>
      <c r="T48" s="271">
        <v>0</v>
      </c>
      <c r="U48" s="271">
        <v>0</v>
      </c>
      <c r="V48" s="271">
        <v>0</v>
      </c>
      <c r="W48" s="271">
        <v>0</v>
      </c>
      <c r="X48" s="271">
        <v>0</v>
      </c>
      <c r="Y48" s="271">
        <v>0</v>
      </c>
      <c r="Z48" s="271">
        <v>0</v>
      </c>
      <c r="AA48" s="271">
        <v>0</v>
      </c>
      <c r="AB48" s="271">
        <v>0</v>
      </c>
      <c r="AC48" s="271">
        <v>0</v>
      </c>
      <c r="AD48" s="271">
        <v>0</v>
      </c>
      <c r="AE48" s="271">
        <v>0</v>
      </c>
      <c r="AF48" s="273">
        <f t="shared" si="0"/>
        <v>1386.8520000000001</v>
      </c>
    </row>
    <row r="49" spans="1:32" ht="78" thickBot="1" x14ac:dyDescent="0.3">
      <c r="A49" s="200">
        <v>44</v>
      </c>
      <c r="B49" s="203" t="str">
        <f>'№2 ИП ТС'!B77</f>
        <v>Реконструкция тепловых сетей (подземной прокладки с выносом на поверхность) в п. Верхний Ландех, ул. Новая, 1А, от ТК-4 до У-28, L=15м, Ду100, надземная прокладка</v>
      </c>
      <c r="C49" s="151" t="str">
        <f>'№2 ИП ТС'!E77</f>
        <v>п. Верхний Ландех, тепловая сеть от котельной № 1 по ул. Новая, д. 1А</v>
      </c>
      <c r="D49" s="271">
        <v>0</v>
      </c>
      <c r="E49" s="271">
        <v>0</v>
      </c>
      <c r="F49" s="271">
        <v>0</v>
      </c>
      <c r="G49" s="271">
        <v>0</v>
      </c>
      <c r="H49" s="271">
        <v>0</v>
      </c>
      <c r="I49" s="271">
        <v>0</v>
      </c>
      <c r="J49" s="271">
        <v>0</v>
      </c>
      <c r="K49" s="271">
        <v>0</v>
      </c>
      <c r="L49" s="271">
        <v>0</v>
      </c>
      <c r="M49" s="271">
        <v>0</v>
      </c>
      <c r="N49" s="271">
        <v>0</v>
      </c>
      <c r="O49" s="272">
        <f>'№2 ИП ТС'!R77</f>
        <v>544.58299999999997</v>
      </c>
      <c r="P49" s="271">
        <v>0</v>
      </c>
      <c r="Q49" s="271">
        <v>0</v>
      </c>
      <c r="R49" s="271">
        <v>0</v>
      </c>
      <c r="S49" s="271">
        <v>0</v>
      </c>
      <c r="T49" s="271">
        <v>0</v>
      </c>
      <c r="U49" s="271">
        <v>0</v>
      </c>
      <c r="V49" s="271">
        <v>0</v>
      </c>
      <c r="W49" s="271">
        <v>0</v>
      </c>
      <c r="X49" s="271">
        <v>0</v>
      </c>
      <c r="Y49" s="271">
        <v>0</v>
      </c>
      <c r="Z49" s="271">
        <v>0</v>
      </c>
      <c r="AA49" s="271">
        <v>0</v>
      </c>
      <c r="AB49" s="271">
        <v>0</v>
      </c>
      <c r="AC49" s="271">
        <v>0</v>
      </c>
      <c r="AD49" s="271">
        <v>0</v>
      </c>
      <c r="AE49" s="271">
        <v>0</v>
      </c>
      <c r="AF49" s="273">
        <f t="shared" si="0"/>
        <v>544.58299999999997</v>
      </c>
    </row>
    <row r="50" spans="1:32" ht="52.5" thickBot="1" x14ac:dyDescent="0.3">
      <c r="A50" s="200">
        <v>45</v>
      </c>
      <c r="B50" s="203" t="str">
        <f>'№2 ИП ТС'!B78</f>
        <v>Реконструкция тепловых сетей в п. Верхний Ландех, ул. Новая, 1А, от У-15 до У-16, L=40м, Ду125, надземная прокладка</v>
      </c>
      <c r="C50" s="151" t="str">
        <f>'№2 ИП ТС'!E78</f>
        <v>п. Верхний Ландех, тепловая сеть от котельной № 1 по ул. Новая, д. 1А</v>
      </c>
      <c r="D50" s="271">
        <v>0</v>
      </c>
      <c r="E50" s="271">
        <v>0</v>
      </c>
      <c r="F50" s="271">
        <v>0</v>
      </c>
      <c r="G50" s="271">
        <v>0</v>
      </c>
      <c r="H50" s="271">
        <v>0</v>
      </c>
      <c r="I50" s="271">
        <v>0</v>
      </c>
      <c r="J50" s="271">
        <v>0</v>
      </c>
      <c r="K50" s="271">
        <v>0</v>
      </c>
      <c r="L50" s="271">
        <v>0</v>
      </c>
      <c r="M50" s="271">
        <v>0</v>
      </c>
      <c r="N50" s="271">
        <v>0</v>
      </c>
      <c r="O50" s="272">
        <f>'№2 ИП ТС'!R78</f>
        <v>966.97500000000002</v>
      </c>
      <c r="P50" s="271">
        <v>0</v>
      </c>
      <c r="Q50" s="271">
        <v>0</v>
      </c>
      <c r="R50" s="271">
        <v>0</v>
      </c>
      <c r="S50" s="271">
        <v>0</v>
      </c>
      <c r="T50" s="271">
        <v>0</v>
      </c>
      <c r="U50" s="271">
        <v>0</v>
      </c>
      <c r="V50" s="271">
        <v>0</v>
      </c>
      <c r="W50" s="271">
        <v>0</v>
      </c>
      <c r="X50" s="271">
        <v>0</v>
      </c>
      <c r="Y50" s="271">
        <v>0</v>
      </c>
      <c r="Z50" s="271">
        <v>0</v>
      </c>
      <c r="AA50" s="271">
        <v>0</v>
      </c>
      <c r="AB50" s="271">
        <v>0</v>
      </c>
      <c r="AC50" s="271">
        <v>0</v>
      </c>
      <c r="AD50" s="271">
        <v>0</v>
      </c>
      <c r="AE50" s="271">
        <v>0</v>
      </c>
      <c r="AF50" s="273">
        <f t="shared" si="0"/>
        <v>966.97500000000002</v>
      </c>
    </row>
    <row r="51" spans="1:32" ht="52.5" thickBot="1" x14ac:dyDescent="0.3">
      <c r="A51" s="200">
        <v>46</v>
      </c>
      <c r="B51" s="203" t="str">
        <f>'№2 ИП ТС'!B79</f>
        <v>Реконструкция тепловых сетей в п. Верхний Ландех, ул. Новая, 1А, от У-17 до У-18, L=21,6м, Ду125, надземная прокладка</v>
      </c>
      <c r="C51" s="151" t="str">
        <f>'№2 ИП ТС'!E79</f>
        <v>п. Верхний Ландех, тепловая сеть от котельной № 1 по ул. Новая, д. 1А</v>
      </c>
      <c r="D51" s="271">
        <v>0</v>
      </c>
      <c r="E51" s="271">
        <v>0</v>
      </c>
      <c r="F51" s="271">
        <v>0</v>
      </c>
      <c r="G51" s="271">
        <v>0</v>
      </c>
      <c r="H51" s="271">
        <v>0</v>
      </c>
      <c r="I51" s="271">
        <v>0</v>
      </c>
      <c r="J51" s="271">
        <v>0</v>
      </c>
      <c r="K51" s="271">
        <v>0</v>
      </c>
      <c r="L51" s="271">
        <v>0</v>
      </c>
      <c r="M51" s="271">
        <v>0</v>
      </c>
      <c r="N51" s="271">
        <v>0</v>
      </c>
      <c r="O51" s="272">
        <f>'№2 ИП ТС'!R79</f>
        <v>522.16800000000001</v>
      </c>
      <c r="P51" s="271">
        <v>0</v>
      </c>
      <c r="Q51" s="271">
        <v>0</v>
      </c>
      <c r="R51" s="271">
        <v>0</v>
      </c>
      <c r="S51" s="271">
        <v>0</v>
      </c>
      <c r="T51" s="271">
        <v>0</v>
      </c>
      <c r="U51" s="271">
        <v>0</v>
      </c>
      <c r="V51" s="271">
        <v>0</v>
      </c>
      <c r="W51" s="271">
        <v>0</v>
      </c>
      <c r="X51" s="271">
        <v>0</v>
      </c>
      <c r="Y51" s="271">
        <v>0</v>
      </c>
      <c r="Z51" s="271">
        <v>0</v>
      </c>
      <c r="AA51" s="271">
        <v>0</v>
      </c>
      <c r="AB51" s="271">
        <v>0</v>
      </c>
      <c r="AC51" s="271">
        <v>0</v>
      </c>
      <c r="AD51" s="271">
        <v>0</v>
      </c>
      <c r="AE51" s="271">
        <v>0</v>
      </c>
      <c r="AF51" s="273">
        <f t="shared" si="0"/>
        <v>522.16800000000001</v>
      </c>
    </row>
    <row r="52" spans="1:32" ht="52.5" thickBot="1" x14ac:dyDescent="0.3">
      <c r="A52" s="200">
        <v>47</v>
      </c>
      <c r="B52" s="203" t="str">
        <f>'№2 ИП ТС'!B80</f>
        <v>Реконструкция тепловых сетей в п. Верхний Ландех, ул. Новая, 1А, от У-18 до У-20, L=20,3 м, Ду125, надземная прокладка</v>
      </c>
      <c r="C52" s="151" t="str">
        <f>'№2 ИП ТС'!E80</f>
        <v>п. Верхний Ландех, тепловая сеть от котельной № 1 по ул. Новая, д. 1А</v>
      </c>
      <c r="D52" s="271">
        <v>0</v>
      </c>
      <c r="E52" s="271">
        <v>0</v>
      </c>
      <c r="F52" s="271">
        <v>0</v>
      </c>
      <c r="G52" s="271">
        <v>0</v>
      </c>
      <c r="H52" s="271">
        <v>0</v>
      </c>
      <c r="I52" s="271">
        <v>0</v>
      </c>
      <c r="J52" s="271">
        <v>0</v>
      </c>
      <c r="K52" s="271">
        <v>0</v>
      </c>
      <c r="L52" s="271">
        <v>0</v>
      </c>
      <c r="M52" s="271">
        <v>0</v>
      </c>
      <c r="N52" s="271">
        <v>0</v>
      </c>
      <c r="O52" s="272">
        <f>'№2 ИП ТС'!R80</f>
        <v>490.74099999999999</v>
      </c>
      <c r="P52" s="271">
        <v>0</v>
      </c>
      <c r="Q52" s="271">
        <v>0</v>
      </c>
      <c r="R52" s="271">
        <v>0</v>
      </c>
      <c r="S52" s="271">
        <v>0</v>
      </c>
      <c r="T52" s="271">
        <v>0</v>
      </c>
      <c r="U52" s="271">
        <v>0</v>
      </c>
      <c r="V52" s="271">
        <v>0</v>
      </c>
      <c r="W52" s="271">
        <v>0</v>
      </c>
      <c r="X52" s="271">
        <v>0</v>
      </c>
      <c r="Y52" s="271">
        <v>0</v>
      </c>
      <c r="Z52" s="271">
        <v>0</v>
      </c>
      <c r="AA52" s="271">
        <v>0</v>
      </c>
      <c r="AB52" s="271">
        <v>0</v>
      </c>
      <c r="AC52" s="271">
        <v>0</v>
      </c>
      <c r="AD52" s="271">
        <v>0</v>
      </c>
      <c r="AE52" s="271">
        <v>0</v>
      </c>
      <c r="AF52" s="273">
        <f t="shared" si="0"/>
        <v>490.74099999999999</v>
      </c>
    </row>
    <row r="53" spans="1:32" ht="52.5" thickBot="1" x14ac:dyDescent="0.3">
      <c r="A53" s="200">
        <v>48</v>
      </c>
      <c r="B53" s="203" t="str">
        <f>'№2 ИП ТС'!B81</f>
        <v>Реконструкция тепловых сетей в п.Верхний Ландех, ул. Новая, 1А , от У-20 до У-21, L=7,4м, Ду125, надземная прокладка</v>
      </c>
      <c r="C53" s="151" t="str">
        <f>'№2 ИП ТС'!E81</f>
        <v>п. Верхний Ландех, тепловая сеть от котельной № 1 по ул. Новая, д.1А</v>
      </c>
      <c r="D53" s="271">
        <v>0</v>
      </c>
      <c r="E53" s="271">
        <v>0</v>
      </c>
      <c r="F53" s="271">
        <v>0</v>
      </c>
      <c r="G53" s="271">
        <v>0</v>
      </c>
      <c r="H53" s="271">
        <v>0</v>
      </c>
      <c r="I53" s="271">
        <v>0</v>
      </c>
      <c r="J53" s="271">
        <v>0</v>
      </c>
      <c r="K53" s="271">
        <v>0</v>
      </c>
      <c r="L53" s="271">
        <v>0</v>
      </c>
      <c r="M53" s="271">
        <v>0</v>
      </c>
      <c r="N53" s="271">
        <v>0</v>
      </c>
      <c r="O53" s="272">
        <f>'№2 ИП ТС'!R81</f>
        <v>178.89099999999999</v>
      </c>
      <c r="P53" s="271">
        <v>0</v>
      </c>
      <c r="Q53" s="271">
        <v>0</v>
      </c>
      <c r="R53" s="271">
        <v>0</v>
      </c>
      <c r="S53" s="271">
        <v>0</v>
      </c>
      <c r="T53" s="271">
        <v>0</v>
      </c>
      <c r="U53" s="271">
        <v>0</v>
      </c>
      <c r="V53" s="271">
        <v>0</v>
      </c>
      <c r="W53" s="271">
        <v>0</v>
      </c>
      <c r="X53" s="271">
        <v>0</v>
      </c>
      <c r="Y53" s="271">
        <v>0</v>
      </c>
      <c r="Z53" s="271">
        <v>0</v>
      </c>
      <c r="AA53" s="271">
        <v>0</v>
      </c>
      <c r="AB53" s="271">
        <v>0</v>
      </c>
      <c r="AC53" s="271">
        <v>0</v>
      </c>
      <c r="AD53" s="271">
        <v>0</v>
      </c>
      <c r="AE53" s="271">
        <v>0</v>
      </c>
      <c r="AF53" s="273">
        <f t="shared" si="0"/>
        <v>178.89099999999999</v>
      </c>
    </row>
    <row r="54" spans="1:32" ht="52.5" thickBot="1" x14ac:dyDescent="0.3">
      <c r="A54" s="200">
        <v>49</v>
      </c>
      <c r="B54" s="203" t="str">
        <f>'№2 ИП ТС'!B82</f>
        <v>Реконструкция тепловых сетей в п. Верхний Ландех, ул. Новая, 1А, от У-21 до У-22, L=11м, Ду125, надземная прокладка</v>
      </c>
      <c r="C54" s="151" t="str">
        <f>'№2 ИП ТС'!E82</f>
        <v>п. Верхний Ландех, тепловая сеть от котельной № 1 по ул. Новая, д. 1А</v>
      </c>
      <c r="D54" s="271">
        <v>0</v>
      </c>
      <c r="E54" s="271">
        <v>0</v>
      </c>
      <c r="F54" s="271">
        <v>0</v>
      </c>
      <c r="G54" s="271">
        <v>0</v>
      </c>
      <c r="H54" s="271">
        <v>0</v>
      </c>
      <c r="I54" s="271">
        <v>0</v>
      </c>
      <c r="J54" s="271">
        <v>0</v>
      </c>
      <c r="K54" s="271">
        <v>0</v>
      </c>
      <c r="L54" s="271">
        <v>0</v>
      </c>
      <c r="M54" s="271">
        <v>0</v>
      </c>
      <c r="N54" s="271">
        <v>0</v>
      </c>
      <c r="O54" s="272">
        <f>'№2 ИП ТС'!R82</f>
        <v>265.91899999999998</v>
      </c>
      <c r="P54" s="271">
        <v>0</v>
      </c>
      <c r="Q54" s="271">
        <v>0</v>
      </c>
      <c r="R54" s="271">
        <v>0</v>
      </c>
      <c r="S54" s="271">
        <v>0</v>
      </c>
      <c r="T54" s="271">
        <v>0</v>
      </c>
      <c r="U54" s="271">
        <v>0</v>
      </c>
      <c r="V54" s="271">
        <v>0</v>
      </c>
      <c r="W54" s="271">
        <v>0</v>
      </c>
      <c r="X54" s="271">
        <v>0</v>
      </c>
      <c r="Y54" s="271">
        <v>0</v>
      </c>
      <c r="Z54" s="271">
        <v>0</v>
      </c>
      <c r="AA54" s="271">
        <v>0</v>
      </c>
      <c r="AB54" s="271">
        <v>0</v>
      </c>
      <c r="AC54" s="271">
        <v>0</v>
      </c>
      <c r="AD54" s="271">
        <v>0</v>
      </c>
      <c r="AE54" s="271">
        <v>0</v>
      </c>
      <c r="AF54" s="273">
        <f t="shared" si="0"/>
        <v>265.91899999999998</v>
      </c>
    </row>
    <row r="55" spans="1:32" ht="52.5" thickBot="1" x14ac:dyDescent="0.3">
      <c r="A55" s="200">
        <v>50</v>
      </c>
      <c r="B55" s="203" t="str">
        <f>'№2 ИП ТС'!B83</f>
        <v>Реконструкция тепловых сетей в п. Верхний Ландех, ул. Новая, 1А , от У-22 до У-23, L=3м, Ду125, надземная прокладка</v>
      </c>
      <c r="C55" s="151" t="str">
        <f>'№2 ИП ТС'!E83</f>
        <v>п. Верхний Ландех, тепловая сеть от котельной № 1 по ул. Новая, д. 1А</v>
      </c>
      <c r="D55" s="271">
        <v>0</v>
      </c>
      <c r="E55" s="271">
        <v>0</v>
      </c>
      <c r="F55" s="271">
        <v>0</v>
      </c>
      <c r="G55" s="271">
        <v>0</v>
      </c>
      <c r="H55" s="271">
        <v>0</v>
      </c>
      <c r="I55" s="271">
        <v>0</v>
      </c>
      <c r="J55" s="271">
        <v>0</v>
      </c>
      <c r="K55" s="271">
        <v>0</v>
      </c>
      <c r="L55" s="271">
        <v>0</v>
      </c>
      <c r="M55" s="271">
        <v>0</v>
      </c>
      <c r="N55" s="271">
        <v>0</v>
      </c>
      <c r="O55" s="272">
        <f>'№2 ИП ТС'!R83</f>
        <v>72.522999999999996</v>
      </c>
      <c r="P55" s="271">
        <v>0</v>
      </c>
      <c r="Q55" s="271">
        <v>0</v>
      </c>
      <c r="R55" s="271">
        <v>0</v>
      </c>
      <c r="S55" s="271">
        <v>0</v>
      </c>
      <c r="T55" s="271">
        <v>0</v>
      </c>
      <c r="U55" s="271">
        <v>0</v>
      </c>
      <c r="V55" s="271">
        <v>0</v>
      </c>
      <c r="W55" s="271">
        <v>0</v>
      </c>
      <c r="X55" s="271">
        <v>0</v>
      </c>
      <c r="Y55" s="271">
        <v>0</v>
      </c>
      <c r="Z55" s="271">
        <v>0</v>
      </c>
      <c r="AA55" s="271">
        <v>0</v>
      </c>
      <c r="AB55" s="271">
        <v>0</v>
      </c>
      <c r="AC55" s="271">
        <v>0</v>
      </c>
      <c r="AD55" s="271">
        <v>0</v>
      </c>
      <c r="AE55" s="271">
        <v>0</v>
      </c>
      <c r="AF55" s="273">
        <f t="shared" si="0"/>
        <v>72.522999999999996</v>
      </c>
    </row>
    <row r="56" spans="1:32" ht="52.5" thickBot="1" x14ac:dyDescent="0.3">
      <c r="A56" s="200">
        <v>51</v>
      </c>
      <c r="B56" s="203" t="str">
        <f>'№2 ИП ТС'!B84</f>
        <v>Реконструкция тепловых сетей в п. Верхний Ландех, ул. Новая, 1А , от У-23 до У-24, L=9,2м, Ду125, надземная прокладка</v>
      </c>
      <c r="C56" s="151" t="str">
        <f>'№2 ИП ТС'!E84</f>
        <v>п. Верхний Ландех, тепловая сеть от котельной № 1 по ул. Новая, д. 1А</v>
      </c>
      <c r="D56" s="271">
        <v>0</v>
      </c>
      <c r="E56" s="271">
        <v>0</v>
      </c>
      <c r="F56" s="271">
        <v>0</v>
      </c>
      <c r="G56" s="271">
        <v>0</v>
      </c>
      <c r="H56" s="271">
        <v>0</v>
      </c>
      <c r="I56" s="271">
        <v>0</v>
      </c>
      <c r="J56" s="271">
        <v>0</v>
      </c>
      <c r="K56" s="271">
        <v>0</v>
      </c>
      <c r="L56" s="271">
        <v>0</v>
      </c>
      <c r="M56" s="271">
        <v>0</v>
      </c>
      <c r="N56" s="271">
        <v>0</v>
      </c>
      <c r="O56" s="272">
        <f>'№2 ИП ТС'!R84</f>
        <v>222.405</v>
      </c>
      <c r="P56" s="271">
        <v>0</v>
      </c>
      <c r="Q56" s="271">
        <v>0</v>
      </c>
      <c r="R56" s="271">
        <v>0</v>
      </c>
      <c r="S56" s="271">
        <v>0</v>
      </c>
      <c r="T56" s="271">
        <v>0</v>
      </c>
      <c r="U56" s="271">
        <v>0</v>
      </c>
      <c r="V56" s="271">
        <v>0</v>
      </c>
      <c r="W56" s="271">
        <v>0</v>
      </c>
      <c r="X56" s="271">
        <v>0</v>
      </c>
      <c r="Y56" s="271">
        <v>0</v>
      </c>
      <c r="Z56" s="271">
        <v>0</v>
      </c>
      <c r="AA56" s="271">
        <v>0</v>
      </c>
      <c r="AB56" s="271">
        <v>0</v>
      </c>
      <c r="AC56" s="271">
        <v>0</v>
      </c>
      <c r="AD56" s="271">
        <v>0</v>
      </c>
      <c r="AE56" s="271">
        <v>0</v>
      </c>
      <c r="AF56" s="273">
        <f t="shared" si="0"/>
        <v>222.405</v>
      </c>
    </row>
    <row r="57" spans="1:32" ht="78" thickBot="1" x14ac:dyDescent="0.3">
      <c r="A57" s="200">
        <v>52</v>
      </c>
      <c r="B57" s="203" t="str">
        <f>'№2 ИП ТС'!B85</f>
        <v>Реконструкция тепловых сетей (подземной прокладки с выносом на поверхность) в п. Верхний Ландех, ул. Новая, 1А, от У-16 до У-17, L=26м, Ду125, надземная прокладка</v>
      </c>
      <c r="C57" s="151" t="str">
        <f>'№2 ИП ТС'!E85</f>
        <v>п. Верхний Ландех, тепловая сеть от котельной № 1 по ул. Новая, д. 1А</v>
      </c>
      <c r="D57" s="271">
        <v>0</v>
      </c>
      <c r="E57" s="271">
        <v>0</v>
      </c>
      <c r="F57" s="271">
        <v>0</v>
      </c>
      <c r="G57" s="271">
        <v>0</v>
      </c>
      <c r="H57" s="271">
        <v>0</v>
      </c>
      <c r="I57" s="271">
        <v>0</v>
      </c>
      <c r="J57" s="271">
        <v>0</v>
      </c>
      <c r="K57" s="271">
        <v>0</v>
      </c>
      <c r="L57" s="271">
        <v>0</v>
      </c>
      <c r="M57" s="271">
        <v>0</v>
      </c>
      <c r="N57" s="271">
        <v>0</v>
      </c>
      <c r="O57" s="272">
        <f>'№2 ИП ТС'!R85</f>
        <v>628.53599999999994</v>
      </c>
      <c r="P57" s="271">
        <v>0</v>
      </c>
      <c r="Q57" s="271">
        <v>0</v>
      </c>
      <c r="R57" s="271">
        <v>0</v>
      </c>
      <c r="S57" s="271">
        <v>0</v>
      </c>
      <c r="T57" s="271">
        <v>0</v>
      </c>
      <c r="U57" s="271">
        <v>0</v>
      </c>
      <c r="V57" s="271">
        <v>0</v>
      </c>
      <c r="W57" s="271">
        <v>0</v>
      </c>
      <c r="X57" s="271">
        <v>0</v>
      </c>
      <c r="Y57" s="271">
        <v>0</v>
      </c>
      <c r="Z57" s="271">
        <v>0</v>
      </c>
      <c r="AA57" s="271">
        <v>0</v>
      </c>
      <c r="AB57" s="271">
        <v>0</v>
      </c>
      <c r="AC57" s="271">
        <v>0</v>
      </c>
      <c r="AD57" s="271">
        <v>0</v>
      </c>
      <c r="AE57" s="271">
        <v>0</v>
      </c>
      <c r="AF57" s="273">
        <f t="shared" si="0"/>
        <v>628.53599999999994</v>
      </c>
    </row>
    <row r="58" spans="1:32" ht="52.5" thickBot="1" x14ac:dyDescent="0.3">
      <c r="A58" s="200">
        <v>53</v>
      </c>
      <c r="B58" s="203" t="str">
        <f>'№2 ИП ТС'!B86</f>
        <v>Реконструкция тепловых сетей в п. Верхний Ландех, ул. Новая, 1А, от У-24 до ТК-4, L=36,7м, Ду125мм, канальная прокладка</v>
      </c>
      <c r="C58" s="151" t="str">
        <f>'№2 ИП ТС'!E86</f>
        <v>п. Верхний Ландех, тепловая сеть от котельной № 1 по ул. Новая, д. 1А</v>
      </c>
      <c r="D58" s="271">
        <v>0</v>
      </c>
      <c r="E58" s="271">
        <v>0</v>
      </c>
      <c r="F58" s="271">
        <v>0</v>
      </c>
      <c r="G58" s="271">
        <v>0</v>
      </c>
      <c r="H58" s="271">
        <v>0</v>
      </c>
      <c r="I58" s="271">
        <v>0</v>
      </c>
      <c r="J58" s="271">
        <v>0</v>
      </c>
      <c r="K58" s="271">
        <v>0</v>
      </c>
      <c r="L58" s="271">
        <v>0</v>
      </c>
      <c r="M58" s="271">
        <v>0</v>
      </c>
      <c r="N58" s="271">
        <v>0</v>
      </c>
      <c r="O58" s="272">
        <f>'№2 ИП ТС'!R86</f>
        <v>1304.4179999999999</v>
      </c>
      <c r="P58" s="271">
        <v>0</v>
      </c>
      <c r="Q58" s="271">
        <v>0</v>
      </c>
      <c r="R58" s="271">
        <v>0</v>
      </c>
      <c r="S58" s="271">
        <v>0</v>
      </c>
      <c r="T58" s="271">
        <v>0</v>
      </c>
      <c r="U58" s="271">
        <v>0</v>
      </c>
      <c r="V58" s="271">
        <v>0</v>
      </c>
      <c r="W58" s="271">
        <v>0</v>
      </c>
      <c r="X58" s="271">
        <v>0</v>
      </c>
      <c r="Y58" s="271">
        <v>0</v>
      </c>
      <c r="Z58" s="271">
        <v>0</v>
      </c>
      <c r="AA58" s="271">
        <v>0</v>
      </c>
      <c r="AB58" s="271">
        <v>0</v>
      </c>
      <c r="AC58" s="271">
        <v>0</v>
      </c>
      <c r="AD58" s="271">
        <v>0</v>
      </c>
      <c r="AE58" s="271">
        <v>0</v>
      </c>
      <c r="AF58" s="273">
        <f t="shared" si="0"/>
        <v>1304.4179999999999</v>
      </c>
    </row>
    <row r="59" spans="1:32" ht="78" thickBot="1" x14ac:dyDescent="0.3">
      <c r="A59" s="200">
        <v>54</v>
      </c>
      <c r="B59" s="203" t="str">
        <f>'№2 ИП ТС'!B87</f>
        <v>Реконструкция участка сети (подземной прокладки с выносом на поверхность) Д 108 мм от У-1 до У1А  L=76 м  (в 2-х трубном исчислении) в п. Верхний Ландех ул. Октябрьская</v>
      </c>
      <c r="C59" s="151" t="str">
        <f>'№2 ИП ТС'!E87</f>
        <v>п. Верхний Ландех, тепловая сеть от котельной № 2 по ул. Октябрьская</v>
      </c>
      <c r="D59" s="271">
        <v>0</v>
      </c>
      <c r="E59" s="271">
        <v>0</v>
      </c>
      <c r="F59" s="271">
        <v>0</v>
      </c>
      <c r="G59" s="271">
        <v>0</v>
      </c>
      <c r="H59" s="271">
        <v>0</v>
      </c>
      <c r="I59" s="271">
        <v>0</v>
      </c>
      <c r="J59" s="271">
        <v>0</v>
      </c>
      <c r="K59" s="271">
        <v>0</v>
      </c>
      <c r="L59" s="271">
        <v>0</v>
      </c>
      <c r="M59" s="271">
        <v>0</v>
      </c>
      <c r="N59" s="271">
        <v>0</v>
      </c>
      <c r="O59" s="272">
        <f>'№2 ИП ТС'!R87</f>
        <v>1655.5319999999999</v>
      </c>
      <c r="P59" s="271">
        <v>0</v>
      </c>
      <c r="Q59" s="271">
        <v>0</v>
      </c>
      <c r="R59" s="271">
        <v>0</v>
      </c>
      <c r="S59" s="271">
        <v>0</v>
      </c>
      <c r="T59" s="271">
        <v>0</v>
      </c>
      <c r="U59" s="271">
        <v>0</v>
      </c>
      <c r="V59" s="271">
        <v>0</v>
      </c>
      <c r="W59" s="271">
        <v>0</v>
      </c>
      <c r="X59" s="271">
        <v>0</v>
      </c>
      <c r="Y59" s="271">
        <v>0</v>
      </c>
      <c r="Z59" s="271">
        <v>0</v>
      </c>
      <c r="AA59" s="271">
        <v>0</v>
      </c>
      <c r="AB59" s="271">
        <v>0</v>
      </c>
      <c r="AC59" s="271">
        <v>0</v>
      </c>
      <c r="AD59" s="271">
        <v>0</v>
      </c>
      <c r="AE59" s="271">
        <v>0</v>
      </c>
      <c r="AF59" s="273">
        <f t="shared" si="0"/>
        <v>1655.5319999999999</v>
      </c>
    </row>
    <row r="60" spans="1:32" ht="65.25" thickBot="1" x14ac:dyDescent="0.3">
      <c r="A60" s="200">
        <v>55</v>
      </c>
      <c r="B60" s="203" t="str">
        <f>'№2 ИП ТС'!B88</f>
        <v>Реконструкция участка сети от У-3 до ул. Строителей, д. 8, Дн45 мм длиной 26 м (надземная прокладка) котельная № 3 п. Верхний Ландех</v>
      </c>
      <c r="C60" s="151" t="str">
        <f>'№2 ИП ТС'!E88</f>
        <v>п. Верхний Ландех, тепловая сеть от котельной № 3 по ул. Строителей</v>
      </c>
      <c r="D60" s="271">
        <v>0</v>
      </c>
      <c r="E60" s="271">
        <v>0</v>
      </c>
      <c r="F60" s="271">
        <v>0</v>
      </c>
      <c r="G60" s="271">
        <v>0</v>
      </c>
      <c r="H60" s="271">
        <v>0</v>
      </c>
      <c r="I60" s="271">
        <v>0</v>
      </c>
      <c r="J60" s="271">
        <v>0</v>
      </c>
      <c r="K60" s="271">
        <v>0</v>
      </c>
      <c r="L60" s="271">
        <v>0</v>
      </c>
      <c r="M60" s="271">
        <v>0</v>
      </c>
      <c r="N60" s="271">
        <v>0</v>
      </c>
      <c r="O60" s="271">
        <v>0</v>
      </c>
      <c r="P60" s="271">
        <v>0</v>
      </c>
      <c r="Q60" s="271">
        <v>0</v>
      </c>
      <c r="R60" s="271">
        <v>0</v>
      </c>
      <c r="S60" s="272">
        <f>'№2 ИП ТС'!R88</f>
        <v>258.38500000000005</v>
      </c>
      <c r="T60" s="271">
        <v>0</v>
      </c>
      <c r="U60" s="271">
        <v>0</v>
      </c>
      <c r="V60" s="271">
        <v>0</v>
      </c>
      <c r="W60" s="271">
        <v>0</v>
      </c>
      <c r="X60" s="271">
        <v>0</v>
      </c>
      <c r="Y60" s="271">
        <v>0</v>
      </c>
      <c r="Z60" s="271">
        <v>0</v>
      </c>
      <c r="AA60" s="271">
        <v>0</v>
      </c>
      <c r="AB60" s="271">
        <v>0</v>
      </c>
      <c r="AC60" s="271">
        <v>0</v>
      </c>
      <c r="AD60" s="271">
        <v>0</v>
      </c>
      <c r="AE60" s="271">
        <v>0</v>
      </c>
      <c r="AF60" s="273">
        <f t="shared" si="0"/>
        <v>258.38500000000005</v>
      </c>
    </row>
    <row r="61" spans="1:32" ht="90.75" thickBot="1" x14ac:dyDescent="0.3">
      <c r="A61" s="200">
        <v>56</v>
      </c>
      <c r="B61" s="203" t="str">
        <f>'№2 ИП ТС'!B89</f>
        <v>Реконструкция существующего (подземного) участка тепловых сетей (с выносом на поверхность) в п. Верхний Ландех, ул. Строителей, д.24А, от ТК-10 до ТК-2, L=8,6м, Ду100, надземная прокладка</v>
      </c>
      <c r="C61" s="151" t="str">
        <f>'№2 ИП ТС'!E89</f>
        <v>п. Верхний Ландех, тепловая сеть от котельной №  3 по ул. Строителей</v>
      </c>
      <c r="D61" s="271">
        <v>0</v>
      </c>
      <c r="E61" s="271">
        <v>0</v>
      </c>
      <c r="F61" s="271">
        <v>0</v>
      </c>
      <c r="G61" s="271">
        <v>0</v>
      </c>
      <c r="H61" s="271">
        <v>0</v>
      </c>
      <c r="I61" s="271">
        <v>0</v>
      </c>
      <c r="J61" s="271">
        <v>0</v>
      </c>
      <c r="K61" s="271">
        <v>0</v>
      </c>
      <c r="L61" s="271">
        <v>0</v>
      </c>
      <c r="M61" s="271">
        <v>0</v>
      </c>
      <c r="N61" s="271">
        <v>0</v>
      </c>
      <c r="O61" s="271">
        <v>0</v>
      </c>
      <c r="P61" s="271">
        <v>0</v>
      </c>
      <c r="Q61" s="271">
        <v>0</v>
      </c>
      <c r="R61" s="271">
        <v>0</v>
      </c>
      <c r="S61" s="272">
        <f>'№2 ИП ТС'!R89</f>
        <v>195.95833333333334</v>
      </c>
      <c r="T61" s="271">
        <v>0</v>
      </c>
      <c r="U61" s="271">
        <v>0</v>
      </c>
      <c r="V61" s="271">
        <v>0</v>
      </c>
      <c r="W61" s="271">
        <v>0</v>
      </c>
      <c r="X61" s="271">
        <v>0</v>
      </c>
      <c r="Y61" s="271">
        <v>0</v>
      </c>
      <c r="Z61" s="271">
        <v>0</v>
      </c>
      <c r="AA61" s="271">
        <v>0</v>
      </c>
      <c r="AB61" s="271">
        <v>0</v>
      </c>
      <c r="AC61" s="271">
        <v>0</v>
      </c>
      <c r="AD61" s="271">
        <v>0</v>
      </c>
      <c r="AE61" s="271">
        <v>0</v>
      </c>
      <c r="AF61" s="273">
        <f t="shared" si="0"/>
        <v>195.95833333333334</v>
      </c>
    </row>
    <row r="62" spans="1:32" ht="90.75" thickBot="1" x14ac:dyDescent="0.3">
      <c r="A62" s="200">
        <v>57</v>
      </c>
      <c r="B62" s="203" t="str">
        <f>'№2 ИП ТС'!B90</f>
        <v>Реконструкция участка сети (подземной прокладки с выносом на поверхность) от ТК-10 до ул. Строителей, д.10, Дн32 мм длиной 39 м (надземная прокладка) котельная № 3 п. Верхний Ландех</v>
      </c>
      <c r="C62" s="151" t="str">
        <f>'№2 ИП ТС'!E90</f>
        <v>п. Верхний Ландех, тепловая сеть от котельной № 3 по ул. Строителей</v>
      </c>
      <c r="D62" s="271">
        <v>0</v>
      </c>
      <c r="E62" s="271">
        <v>0</v>
      </c>
      <c r="F62" s="271">
        <v>0</v>
      </c>
      <c r="G62" s="271">
        <v>0</v>
      </c>
      <c r="H62" s="271">
        <v>0</v>
      </c>
      <c r="I62" s="271">
        <v>0</v>
      </c>
      <c r="J62" s="271">
        <v>0</v>
      </c>
      <c r="K62" s="271">
        <v>0</v>
      </c>
      <c r="L62" s="271">
        <v>0</v>
      </c>
      <c r="M62" s="271">
        <v>0</v>
      </c>
      <c r="N62" s="271">
        <v>0</v>
      </c>
      <c r="O62" s="271">
        <v>0</v>
      </c>
      <c r="P62" s="271">
        <v>0</v>
      </c>
      <c r="Q62" s="271">
        <v>0</v>
      </c>
      <c r="R62" s="271">
        <v>0</v>
      </c>
      <c r="S62" s="272">
        <f>'№2 ИП ТС'!R90</f>
        <v>524.41333333333341</v>
      </c>
      <c r="T62" s="271">
        <v>0</v>
      </c>
      <c r="U62" s="271">
        <v>0</v>
      </c>
      <c r="V62" s="271">
        <v>0</v>
      </c>
      <c r="W62" s="271">
        <v>0</v>
      </c>
      <c r="X62" s="271">
        <v>0</v>
      </c>
      <c r="Y62" s="271">
        <v>0</v>
      </c>
      <c r="Z62" s="271">
        <v>0</v>
      </c>
      <c r="AA62" s="271">
        <v>0</v>
      </c>
      <c r="AB62" s="271">
        <v>0</v>
      </c>
      <c r="AC62" s="271">
        <v>0</v>
      </c>
      <c r="AD62" s="271">
        <v>0</v>
      </c>
      <c r="AE62" s="271">
        <v>0</v>
      </c>
      <c r="AF62" s="273">
        <f t="shared" si="0"/>
        <v>524.41333333333341</v>
      </c>
    </row>
    <row r="63" spans="1:32" ht="78" thickBot="1" x14ac:dyDescent="0.3">
      <c r="A63" s="200">
        <v>58</v>
      </c>
      <c r="B63" s="203" t="str">
        <f>'№2 ИП ТС'!B91</f>
        <v>Реконструкция тепловых сетей (подземной прокладки с выносом на поверхность) в п. Верхний Ландех, ул. Строителей, д.24А, от ТК-11 до ТК-10, L=17м, Ду100, надземная прокладка</v>
      </c>
      <c r="C63" s="151" t="str">
        <f>'№2 ИП ТС'!E91</f>
        <v>п. Верхний Ландех, тепловая сеть от котельной № 3 по ул. Строителей</v>
      </c>
      <c r="D63" s="271">
        <v>0</v>
      </c>
      <c r="E63" s="271">
        <v>0</v>
      </c>
      <c r="F63" s="271">
        <v>0</v>
      </c>
      <c r="G63" s="271">
        <v>0</v>
      </c>
      <c r="H63" s="271">
        <v>0</v>
      </c>
      <c r="I63" s="271">
        <v>0</v>
      </c>
      <c r="J63" s="271">
        <v>0</v>
      </c>
      <c r="K63" s="271">
        <v>0</v>
      </c>
      <c r="L63" s="271">
        <v>0</v>
      </c>
      <c r="M63" s="271">
        <v>0</v>
      </c>
      <c r="N63" s="271">
        <v>0</v>
      </c>
      <c r="O63" s="271">
        <v>0</v>
      </c>
      <c r="P63" s="271">
        <v>0</v>
      </c>
      <c r="Q63" s="271">
        <v>0</v>
      </c>
      <c r="R63" s="271">
        <v>0</v>
      </c>
      <c r="S63" s="272">
        <f>'№2 ИП ТС'!R91</f>
        <v>387.35166666666669</v>
      </c>
      <c r="T63" s="271">
        <v>0</v>
      </c>
      <c r="U63" s="271">
        <v>0</v>
      </c>
      <c r="V63" s="271">
        <v>0</v>
      </c>
      <c r="W63" s="271">
        <v>0</v>
      </c>
      <c r="X63" s="271">
        <v>0</v>
      </c>
      <c r="Y63" s="271">
        <v>0</v>
      </c>
      <c r="Z63" s="271">
        <v>0</v>
      </c>
      <c r="AA63" s="271">
        <v>0</v>
      </c>
      <c r="AB63" s="271">
        <v>0</v>
      </c>
      <c r="AC63" s="271">
        <v>0</v>
      </c>
      <c r="AD63" s="271">
        <v>0</v>
      </c>
      <c r="AE63" s="271">
        <v>0</v>
      </c>
      <c r="AF63" s="273">
        <f t="shared" si="0"/>
        <v>387.35166666666669</v>
      </c>
    </row>
    <row r="64" spans="1:32" ht="78" thickBot="1" x14ac:dyDescent="0.3">
      <c r="A64" s="200">
        <v>59</v>
      </c>
      <c r="B64" s="203" t="str">
        <f>'№2 ИП ТС'!B92</f>
        <v>Реконструкция тепловых сетей (подземной прокладки с выносом на поверхность) в п. Верхний Ландех, ул. Строителей, д. 24А, от ТК-11 до ТК-12, L=13м, Ду80, надземная прокладка</v>
      </c>
      <c r="C64" s="151" t="str">
        <f>'№2 ИП ТС'!E92</f>
        <v>п. Верхний Ландех, тепловая сеть от котельной № 3 по ул. Строителей</v>
      </c>
      <c r="D64" s="271">
        <v>0</v>
      </c>
      <c r="E64" s="271">
        <v>0</v>
      </c>
      <c r="F64" s="271">
        <v>0</v>
      </c>
      <c r="G64" s="271">
        <v>0</v>
      </c>
      <c r="H64" s="271">
        <v>0</v>
      </c>
      <c r="I64" s="271">
        <v>0</v>
      </c>
      <c r="J64" s="271">
        <v>0</v>
      </c>
      <c r="K64" s="271">
        <v>0</v>
      </c>
      <c r="L64" s="271">
        <v>0</v>
      </c>
      <c r="M64" s="271">
        <v>0</v>
      </c>
      <c r="N64" s="271">
        <v>0</v>
      </c>
      <c r="O64" s="271">
        <v>0</v>
      </c>
      <c r="P64" s="271">
        <v>0</v>
      </c>
      <c r="Q64" s="271">
        <v>0</v>
      </c>
      <c r="R64" s="271">
        <v>0</v>
      </c>
      <c r="S64" s="272">
        <f>'№2 ИП ТС'!R92</f>
        <v>287.91500000000002</v>
      </c>
      <c r="T64" s="271">
        <v>0</v>
      </c>
      <c r="U64" s="271">
        <v>0</v>
      </c>
      <c r="V64" s="271">
        <v>0</v>
      </c>
      <c r="W64" s="271">
        <v>0</v>
      </c>
      <c r="X64" s="271">
        <v>0</v>
      </c>
      <c r="Y64" s="271">
        <v>0</v>
      </c>
      <c r="Z64" s="271">
        <v>0</v>
      </c>
      <c r="AA64" s="271">
        <v>0</v>
      </c>
      <c r="AB64" s="271">
        <v>0</v>
      </c>
      <c r="AC64" s="271">
        <v>0</v>
      </c>
      <c r="AD64" s="271">
        <v>0</v>
      </c>
      <c r="AE64" s="271">
        <v>0</v>
      </c>
      <c r="AF64" s="273">
        <f t="shared" si="0"/>
        <v>287.91500000000002</v>
      </c>
    </row>
    <row r="65" spans="1:32" ht="90.75" thickBot="1" x14ac:dyDescent="0.3">
      <c r="A65" s="200">
        <v>60</v>
      </c>
      <c r="B65" s="203" t="str">
        <f>'№2 ИП ТС'!B93</f>
        <v>Реконструкция участка сети (подземной прокладки с выносом на поверхность) от ТК-12 до ул. Строителей, д.16, Ду50 мм длиной 11 м (надземная прокладка) котельная № 3 п. Верхний Ландех</v>
      </c>
      <c r="C65" s="151" t="str">
        <f>'№2 ИП ТС'!E93</f>
        <v>п. Верхний Ландех, тепловая сеть от котельной № 3 по ул. Строителей</v>
      </c>
      <c r="D65" s="271">
        <v>0</v>
      </c>
      <c r="E65" s="271">
        <v>0</v>
      </c>
      <c r="F65" s="271">
        <v>0</v>
      </c>
      <c r="G65" s="271">
        <v>0</v>
      </c>
      <c r="H65" s="271">
        <v>0</v>
      </c>
      <c r="I65" s="271">
        <v>0</v>
      </c>
      <c r="J65" s="271">
        <v>0</v>
      </c>
      <c r="K65" s="271">
        <v>0</v>
      </c>
      <c r="L65" s="271">
        <v>0</v>
      </c>
      <c r="M65" s="271">
        <v>0</v>
      </c>
      <c r="N65" s="271">
        <v>0</v>
      </c>
      <c r="O65" s="271">
        <v>0</v>
      </c>
      <c r="P65" s="271">
        <v>0</v>
      </c>
      <c r="Q65" s="271">
        <v>0</v>
      </c>
      <c r="R65" s="271">
        <v>0</v>
      </c>
      <c r="S65" s="272">
        <f>'№2 ИП ТС'!R93</f>
        <v>138.52000000000001</v>
      </c>
      <c r="T65" s="271">
        <v>0</v>
      </c>
      <c r="U65" s="271">
        <v>0</v>
      </c>
      <c r="V65" s="271">
        <v>0</v>
      </c>
      <c r="W65" s="271">
        <v>0</v>
      </c>
      <c r="X65" s="271">
        <v>0</v>
      </c>
      <c r="Y65" s="271">
        <v>0</v>
      </c>
      <c r="Z65" s="271">
        <v>0</v>
      </c>
      <c r="AA65" s="271">
        <v>0</v>
      </c>
      <c r="AB65" s="271">
        <v>0</v>
      </c>
      <c r="AC65" s="271">
        <v>0</v>
      </c>
      <c r="AD65" s="271">
        <v>0</v>
      </c>
      <c r="AE65" s="271">
        <v>0</v>
      </c>
      <c r="AF65" s="273">
        <f t="shared" si="0"/>
        <v>138.52000000000001</v>
      </c>
    </row>
    <row r="66" spans="1:32" ht="90.75" thickBot="1" x14ac:dyDescent="0.3">
      <c r="A66" s="200">
        <v>61</v>
      </c>
      <c r="B66" s="203" t="str">
        <f>'№2 ИП ТС'!B94</f>
        <v>Реконструкция тепловых сетей (подземной прокладки с выносом на поверхность) в п. Верхний Ландех, ул. Строителей, д. 24А , от ТК-12 до ул. Строителей, д. 15, L=107,4 м, Дн76, надземная прокладка</v>
      </c>
      <c r="C66" s="151" t="str">
        <f>'№2 ИП ТС'!E94</f>
        <v>п. Верхний Ландех, тепловая сеть от котельной № 3 по ул. Строителей</v>
      </c>
      <c r="D66" s="271">
        <v>0</v>
      </c>
      <c r="E66" s="271">
        <v>0</v>
      </c>
      <c r="F66" s="271">
        <v>0</v>
      </c>
      <c r="G66" s="271">
        <v>0</v>
      </c>
      <c r="H66" s="271">
        <v>0</v>
      </c>
      <c r="I66" s="271">
        <v>0</v>
      </c>
      <c r="J66" s="271">
        <v>0</v>
      </c>
      <c r="K66" s="271">
        <v>0</v>
      </c>
      <c r="L66" s="271">
        <v>0</v>
      </c>
      <c r="M66" s="271">
        <v>0</v>
      </c>
      <c r="N66" s="271">
        <v>0</v>
      </c>
      <c r="O66" s="271">
        <v>0</v>
      </c>
      <c r="P66" s="271">
        <v>0</v>
      </c>
      <c r="Q66" s="271">
        <v>0</v>
      </c>
      <c r="R66" s="271">
        <v>0</v>
      </c>
      <c r="S66" s="272">
        <f>'№2 ИП ТС'!R94</f>
        <v>2378.6170000000002</v>
      </c>
      <c r="T66" s="271">
        <v>0</v>
      </c>
      <c r="U66" s="271">
        <v>0</v>
      </c>
      <c r="V66" s="271">
        <v>0</v>
      </c>
      <c r="W66" s="271">
        <v>0</v>
      </c>
      <c r="X66" s="271">
        <v>0</v>
      </c>
      <c r="Y66" s="271">
        <v>0</v>
      </c>
      <c r="Z66" s="271">
        <v>0</v>
      </c>
      <c r="AA66" s="271">
        <v>0</v>
      </c>
      <c r="AB66" s="271">
        <v>0</v>
      </c>
      <c r="AC66" s="271">
        <v>0</v>
      </c>
      <c r="AD66" s="271">
        <v>0</v>
      </c>
      <c r="AE66" s="271">
        <v>0</v>
      </c>
      <c r="AF66" s="273">
        <f t="shared" si="0"/>
        <v>2378.6170000000002</v>
      </c>
    </row>
    <row r="67" spans="1:32" ht="78" thickBot="1" x14ac:dyDescent="0.3">
      <c r="A67" s="200">
        <v>62</v>
      </c>
      <c r="B67" s="203" t="str">
        <f>'№2 ИП ТС'!B95</f>
        <v>Реконструкция тепловых сетей (подземной прокладки с выносом на поверхность) в п. Верхний Ландех, ул. Строителей, д.24А , от ТК-4 до ТК-6, L=33,8м, Дн76, надземная прокладка</v>
      </c>
      <c r="C67" s="151" t="str">
        <f>'№2 ИП ТС'!E95</f>
        <v>п. Верхний Ландех, тепловая сеть от котельной № 3 по ул. Строителей</v>
      </c>
      <c r="D67" s="271">
        <v>0</v>
      </c>
      <c r="E67" s="271">
        <v>0</v>
      </c>
      <c r="F67" s="271">
        <v>0</v>
      </c>
      <c r="G67" s="271">
        <v>0</v>
      </c>
      <c r="H67" s="271">
        <v>0</v>
      </c>
      <c r="I67" s="271">
        <v>0</v>
      </c>
      <c r="J67" s="271">
        <v>0</v>
      </c>
      <c r="K67" s="271">
        <v>0</v>
      </c>
      <c r="L67" s="271">
        <v>0</v>
      </c>
      <c r="M67" s="271">
        <v>0</v>
      </c>
      <c r="N67" s="271">
        <v>0</v>
      </c>
      <c r="O67" s="271">
        <v>0</v>
      </c>
      <c r="P67" s="271">
        <v>0</v>
      </c>
      <c r="Q67" s="271">
        <v>0</v>
      </c>
      <c r="R67" s="271">
        <v>0</v>
      </c>
      <c r="S67" s="272">
        <f>'№2 ИП ТС'!R95</f>
        <v>748.57833333333338</v>
      </c>
      <c r="T67" s="271">
        <v>0</v>
      </c>
      <c r="U67" s="271">
        <v>0</v>
      </c>
      <c r="V67" s="271">
        <v>0</v>
      </c>
      <c r="W67" s="271">
        <v>0</v>
      </c>
      <c r="X67" s="271">
        <v>0</v>
      </c>
      <c r="Y67" s="271">
        <v>0</v>
      </c>
      <c r="Z67" s="271">
        <v>0</v>
      </c>
      <c r="AA67" s="271">
        <v>0</v>
      </c>
      <c r="AB67" s="271">
        <v>0</v>
      </c>
      <c r="AC67" s="271">
        <v>0</v>
      </c>
      <c r="AD67" s="271">
        <v>0</v>
      </c>
      <c r="AE67" s="271">
        <v>0</v>
      </c>
      <c r="AF67" s="273">
        <f t="shared" si="0"/>
        <v>748.57833333333338</v>
      </c>
    </row>
    <row r="68" spans="1:32" ht="78" thickBot="1" x14ac:dyDescent="0.3">
      <c r="A68" s="200">
        <v>63</v>
      </c>
      <c r="B68" s="203" t="str">
        <f>'№2 ИП ТС'!B96</f>
        <v>Реконструкция тепловых сетей (подземной прокладки с выносом на поверхность) в п. Верхний Ландех, ул. Строителей, д. 24А, от ТК-6 до У-1, L=37м, Дн76, надземная прокладка</v>
      </c>
      <c r="C68" s="151" t="str">
        <f>'№2 ИП ТС'!E96</f>
        <v>п. Верхний Ландех, тепловая сеть от котельной № 3 по ул. Строителей</v>
      </c>
      <c r="D68" s="271">
        <v>0</v>
      </c>
      <c r="E68" s="271">
        <v>0</v>
      </c>
      <c r="F68" s="271">
        <v>0</v>
      </c>
      <c r="G68" s="271">
        <v>0</v>
      </c>
      <c r="H68" s="271">
        <v>0</v>
      </c>
      <c r="I68" s="271">
        <v>0</v>
      </c>
      <c r="J68" s="271">
        <v>0</v>
      </c>
      <c r="K68" s="271">
        <v>0</v>
      </c>
      <c r="L68" s="271">
        <v>0</v>
      </c>
      <c r="M68" s="271">
        <v>0</v>
      </c>
      <c r="N68" s="271">
        <v>0</v>
      </c>
      <c r="O68" s="271">
        <v>0</v>
      </c>
      <c r="P68" s="271">
        <v>0</v>
      </c>
      <c r="Q68" s="271">
        <v>0</v>
      </c>
      <c r="R68" s="271">
        <v>0</v>
      </c>
      <c r="S68" s="272">
        <f>'№2 ИП ТС'!R96</f>
        <v>819.44799999999998</v>
      </c>
      <c r="T68" s="271">
        <v>0</v>
      </c>
      <c r="U68" s="271">
        <v>0</v>
      </c>
      <c r="V68" s="271">
        <v>0</v>
      </c>
      <c r="W68" s="271">
        <v>0</v>
      </c>
      <c r="X68" s="271">
        <v>0</v>
      </c>
      <c r="Y68" s="271">
        <v>0</v>
      </c>
      <c r="Z68" s="271">
        <v>0</v>
      </c>
      <c r="AA68" s="271">
        <v>0</v>
      </c>
      <c r="AB68" s="271">
        <v>0</v>
      </c>
      <c r="AC68" s="271">
        <v>0</v>
      </c>
      <c r="AD68" s="271">
        <v>0</v>
      </c>
      <c r="AE68" s="271">
        <v>0</v>
      </c>
      <c r="AF68" s="273">
        <f t="shared" si="0"/>
        <v>819.44799999999998</v>
      </c>
    </row>
    <row r="69" spans="1:32" ht="78" thickBot="1" x14ac:dyDescent="0.3">
      <c r="A69" s="200">
        <v>64</v>
      </c>
      <c r="B69" s="203" t="str">
        <f>'№2 ИП ТС'!B97</f>
        <v>Реконструкция тепловых сетей (подземной прокладки с выносом на поверхность) в п. Верхний Ландех,  ул. Строителей, д.24А ,от У-2 до ТК-9, L=2м, Дн76, надземная прокладка</v>
      </c>
      <c r="C69" s="151" t="str">
        <f>'№2 ИП ТС'!E97</f>
        <v>п. Верхний Ландех, тепловая сеть от котельной № 3 по ул. Строителей</v>
      </c>
      <c r="D69" s="271">
        <v>0</v>
      </c>
      <c r="E69" s="271">
        <v>0</v>
      </c>
      <c r="F69" s="271">
        <v>0</v>
      </c>
      <c r="G69" s="271">
        <v>0</v>
      </c>
      <c r="H69" s="271">
        <v>0</v>
      </c>
      <c r="I69" s="271">
        <v>0</v>
      </c>
      <c r="J69" s="271">
        <v>0</v>
      </c>
      <c r="K69" s="271">
        <v>0</v>
      </c>
      <c r="L69" s="271">
        <v>0</v>
      </c>
      <c r="M69" s="271">
        <v>0</v>
      </c>
      <c r="N69" s="271">
        <v>0</v>
      </c>
      <c r="O69" s="271">
        <v>0</v>
      </c>
      <c r="P69" s="271">
        <v>0</v>
      </c>
      <c r="Q69" s="271">
        <v>0</v>
      </c>
      <c r="R69" s="271">
        <v>0</v>
      </c>
      <c r="S69" s="272">
        <f>'№2 ИП ТС'!R97</f>
        <v>44.294166666666669</v>
      </c>
      <c r="T69" s="271">
        <v>0</v>
      </c>
      <c r="U69" s="271">
        <v>0</v>
      </c>
      <c r="V69" s="271">
        <v>0</v>
      </c>
      <c r="W69" s="271">
        <v>0</v>
      </c>
      <c r="X69" s="271">
        <v>0</v>
      </c>
      <c r="Y69" s="271">
        <v>0</v>
      </c>
      <c r="Z69" s="271">
        <v>0</v>
      </c>
      <c r="AA69" s="271">
        <v>0</v>
      </c>
      <c r="AB69" s="271">
        <v>0</v>
      </c>
      <c r="AC69" s="271">
        <v>0</v>
      </c>
      <c r="AD69" s="271">
        <v>0</v>
      </c>
      <c r="AE69" s="271">
        <v>0</v>
      </c>
      <c r="AF69" s="273">
        <f t="shared" si="0"/>
        <v>44.294166666666669</v>
      </c>
    </row>
    <row r="70" spans="1:32" ht="78" thickBot="1" x14ac:dyDescent="0.3">
      <c r="A70" s="200">
        <v>65</v>
      </c>
      <c r="B70" s="203" t="str">
        <f>'№2 ИП ТС'!B98</f>
        <v>Реконструкция участка сети от ТК-9 до У-3, Дн45 мм длиной 42 м (подземной прокладки с выносом на поверхность) котельная № 3 п. Верхний Ландех, ул. Строителей, д. 24а</v>
      </c>
      <c r="C70" s="151" t="str">
        <f>'№2 ИП ТС'!E98</f>
        <v>п. Верхний Ландех, тепловая сеть от котельной № 3 по ул. Строителей</v>
      </c>
      <c r="D70" s="271">
        <v>0</v>
      </c>
      <c r="E70" s="271">
        <v>0</v>
      </c>
      <c r="F70" s="271">
        <v>0</v>
      </c>
      <c r="G70" s="271">
        <v>0</v>
      </c>
      <c r="H70" s="271">
        <v>0</v>
      </c>
      <c r="I70" s="271">
        <v>0</v>
      </c>
      <c r="J70" s="271">
        <v>0</v>
      </c>
      <c r="K70" s="271">
        <v>0</v>
      </c>
      <c r="L70" s="271">
        <v>0</v>
      </c>
      <c r="M70" s="271">
        <v>0</v>
      </c>
      <c r="N70" s="271">
        <v>0</v>
      </c>
      <c r="O70" s="271">
        <v>0</v>
      </c>
      <c r="P70" s="271">
        <v>0</v>
      </c>
      <c r="Q70" s="271">
        <v>0</v>
      </c>
      <c r="R70" s="271">
        <v>0</v>
      </c>
      <c r="S70" s="272">
        <f>'№2 ИП ТС'!R98</f>
        <v>486.01583333333338</v>
      </c>
      <c r="T70" s="271">
        <v>0</v>
      </c>
      <c r="U70" s="271">
        <v>0</v>
      </c>
      <c r="V70" s="271">
        <v>0</v>
      </c>
      <c r="W70" s="271">
        <v>0</v>
      </c>
      <c r="X70" s="271">
        <v>0</v>
      </c>
      <c r="Y70" s="271">
        <v>0</v>
      </c>
      <c r="Z70" s="271">
        <v>0</v>
      </c>
      <c r="AA70" s="271">
        <v>0</v>
      </c>
      <c r="AB70" s="271">
        <v>0</v>
      </c>
      <c r="AC70" s="271">
        <v>0</v>
      </c>
      <c r="AD70" s="271">
        <v>0</v>
      </c>
      <c r="AE70" s="271">
        <v>0</v>
      </c>
      <c r="AF70" s="273">
        <f t="shared" si="0"/>
        <v>486.01583333333338</v>
      </c>
    </row>
    <row r="71" spans="1:32" ht="90.75" thickBot="1" x14ac:dyDescent="0.3">
      <c r="A71" s="200">
        <v>66</v>
      </c>
      <c r="B71" s="203" t="str">
        <f>'№2 ИП ТС'!B99</f>
        <v>Реконструкция тепловых сетей (подземной прокладки с выносом на поверхность) в п. Верхний Ландех, ул. Строителей, д.24А , от ТК-14 до ул. Строителей, д.20, L=16,1м, Ду80, надземная прокладка</v>
      </c>
      <c r="C71" s="151" t="str">
        <f>'№2 ИП ТС'!E99</f>
        <v>п. Верхний Ландех, тепловая сеть от котельной № 3 по ул. Строителей</v>
      </c>
      <c r="D71" s="271">
        <v>0</v>
      </c>
      <c r="E71" s="271">
        <v>0</v>
      </c>
      <c r="F71" s="271">
        <v>0</v>
      </c>
      <c r="G71" s="271">
        <v>0</v>
      </c>
      <c r="H71" s="271">
        <v>0</v>
      </c>
      <c r="I71" s="271">
        <v>0</v>
      </c>
      <c r="J71" s="271">
        <v>0</v>
      </c>
      <c r="K71" s="271">
        <v>0</v>
      </c>
      <c r="L71" s="271">
        <v>0</v>
      </c>
      <c r="M71" s="271">
        <v>0</v>
      </c>
      <c r="N71" s="271">
        <v>0</v>
      </c>
      <c r="O71" s="271">
        <v>0</v>
      </c>
      <c r="P71" s="271">
        <v>0</v>
      </c>
      <c r="Q71" s="271">
        <v>0</v>
      </c>
      <c r="R71" s="271">
        <v>0</v>
      </c>
      <c r="S71" s="272">
        <f>'№2 ИП ТС'!R99</f>
        <v>356.57083333333333</v>
      </c>
      <c r="T71" s="271">
        <v>0</v>
      </c>
      <c r="U71" s="271">
        <v>0</v>
      </c>
      <c r="V71" s="271">
        <v>0</v>
      </c>
      <c r="W71" s="271">
        <v>0</v>
      </c>
      <c r="X71" s="271">
        <v>0</v>
      </c>
      <c r="Y71" s="271">
        <v>0</v>
      </c>
      <c r="Z71" s="271">
        <v>0</v>
      </c>
      <c r="AA71" s="271">
        <v>0</v>
      </c>
      <c r="AB71" s="271">
        <v>0</v>
      </c>
      <c r="AC71" s="271">
        <v>0</v>
      </c>
      <c r="AD71" s="271">
        <v>0</v>
      </c>
      <c r="AE71" s="271">
        <v>0</v>
      </c>
      <c r="AF71" s="273">
        <f t="shared" ref="AF71:AF101" si="1">SUM(D71:AE71)</f>
        <v>356.57083333333333</v>
      </c>
    </row>
    <row r="72" spans="1:32" ht="78" thickBot="1" x14ac:dyDescent="0.3">
      <c r="A72" s="200">
        <v>67</v>
      </c>
      <c r="B72" s="203" t="str">
        <f>'№2 ИП ТС'!B100</f>
        <v>Реконструкция тепловых сетей (подземной прокладки с выносом на поверхность) в п. Верхний Ландех, ул. Строителей, д.24А , от ТК-14 до ТК-15, L=37м, Ду100, надземная прокладка</v>
      </c>
      <c r="C72" s="151" t="str">
        <f>'№2 ИП ТС'!E100</f>
        <v>п. Верхний Ландех, тепловая сеть от котельной № 3 по ул. Строителей</v>
      </c>
      <c r="D72" s="271">
        <v>0</v>
      </c>
      <c r="E72" s="271">
        <v>0</v>
      </c>
      <c r="F72" s="271">
        <v>0</v>
      </c>
      <c r="G72" s="271">
        <v>0</v>
      </c>
      <c r="H72" s="271">
        <v>0</v>
      </c>
      <c r="I72" s="271">
        <v>0</v>
      </c>
      <c r="J72" s="271">
        <v>0</v>
      </c>
      <c r="K72" s="271">
        <v>0</v>
      </c>
      <c r="L72" s="271">
        <v>0</v>
      </c>
      <c r="M72" s="271">
        <v>0</v>
      </c>
      <c r="N72" s="271">
        <v>0</v>
      </c>
      <c r="O72" s="271">
        <v>0</v>
      </c>
      <c r="P72" s="271">
        <v>0</v>
      </c>
      <c r="Q72" s="271">
        <v>0</v>
      </c>
      <c r="R72" s="271">
        <v>0</v>
      </c>
      <c r="S72" s="272">
        <f>'№2 ИП ТС'!R100</f>
        <v>843.05583333333334</v>
      </c>
      <c r="T72" s="271">
        <v>0</v>
      </c>
      <c r="U72" s="271">
        <v>0</v>
      </c>
      <c r="V72" s="271">
        <v>0</v>
      </c>
      <c r="W72" s="271">
        <v>0</v>
      </c>
      <c r="X72" s="271">
        <v>0</v>
      </c>
      <c r="Y72" s="271">
        <v>0</v>
      </c>
      <c r="Z72" s="271">
        <v>0</v>
      </c>
      <c r="AA72" s="271">
        <v>0</v>
      </c>
      <c r="AB72" s="271">
        <v>0</v>
      </c>
      <c r="AC72" s="271">
        <v>0</v>
      </c>
      <c r="AD72" s="271">
        <v>0</v>
      </c>
      <c r="AE72" s="271">
        <v>0</v>
      </c>
      <c r="AF72" s="273">
        <f t="shared" si="1"/>
        <v>843.05583333333334</v>
      </c>
    </row>
    <row r="73" spans="1:32" ht="90.75" thickBot="1" x14ac:dyDescent="0.3">
      <c r="A73" s="200">
        <v>68</v>
      </c>
      <c r="B73" s="203" t="str">
        <f>'№2 ИП ТС'!B101</f>
        <v>Реконструкция тепловых сетей (подземной прокладки с выносом на поверхность) в п. Верхний Ландех, ул. Строителей, д.24А , от ТК-15 до ул. Строителей, д.22, L=23,5 м, Ду80, надземная прокладка</v>
      </c>
      <c r="C73" s="151" t="str">
        <f>'№2 ИП ТС'!E101</f>
        <v>п. Верхний Ландех, тепловая сеть от котельной № 3 по ул. Строителей</v>
      </c>
      <c r="D73" s="271">
        <v>0</v>
      </c>
      <c r="E73" s="271">
        <v>0</v>
      </c>
      <c r="F73" s="271">
        <v>0</v>
      </c>
      <c r="G73" s="271">
        <v>0</v>
      </c>
      <c r="H73" s="271">
        <v>0</v>
      </c>
      <c r="I73" s="271">
        <v>0</v>
      </c>
      <c r="J73" s="271">
        <v>0</v>
      </c>
      <c r="K73" s="271">
        <v>0</v>
      </c>
      <c r="L73" s="271">
        <v>0</v>
      </c>
      <c r="M73" s="271">
        <v>0</v>
      </c>
      <c r="N73" s="271">
        <v>0</v>
      </c>
      <c r="O73" s="271">
        <v>0</v>
      </c>
      <c r="P73" s="271">
        <v>0</v>
      </c>
      <c r="Q73" s="271">
        <v>0</v>
      </c>
      <c r="R73" s="271">
        <v>0</v>
      </c>
      <c r="S73" s="272">
        <f>'№2 ИП ТС'!R101</f>
        <v>520.46083333333331</v>
      </c>
      <c r="T73" s="271">
        <v>0</v>
      </c>
      <c r="U73" s="271">
        <v>0</v>
      </c>
      <c r="V73" s="271">
        <v>0</v>
      </c>
      <c r="W73" s="271">
        <v>0</v>
      </c>
      <c r="X73" s="271">
        <v>0</v>
      </c>
      <c r="Y73" s="271">
        <v>0</v>
      </c>
      <c r="Z73" s="271">
        <v>0</v>
      </c>
      <c r="AA73" s="271">
        <v>0</v>
      </c>
      <c r="AB73" s="271">
        <v>0</v>
      </c>
      <c r="AC73" s="271">
        <v>0</v>
      </c>
      <c r="AD73" s="271">
        <v>0</v>
      </c>
      <c r="AE73" s="271">
        <v>0</v>
      </c>
      <c r="AF73" s="273">
        <f t="shared" si="1"/>
        <v>520.46083333333331</v>
      </c>
    </row>
    <row r="74" spans="1:32" ht="65.25" thickBot="1" x14ac:dyDescent="0.3">
      <c r="A74" s="200">
        <v>69</v>
      </c>
      <c r="B74" s="203" t="str">
        <f>'№2 ИП ТС'!B102</f>
        <v>Реконструкция тепловых сетей в п. Верхний Ландех, ул. Строителей, д. 24А ,от ТК-15 до ул. Строителей, д. 21, L=16,3м, Ду80, надземная прокладка</v>
      </c>
      <c r="C74" s="151" t="str">
        <f>'№2 ИП ТС'!E102</f>
        <v>п. Верхний Ландех, тепловая сеть от котельной № 3 по ул. Строителей</v>
      </c>
      <c r="D74" s="271">
        <v>0</v>
      </c>
      <c r="E74" s="271">
        <v>0</v>
      </c>
      <c r="F74" s="271">
        <v>0</v>
      </c>
      <c r="G74" s="271">
        <v>0</v>
      </c>
      <c r="H74" s="271">
        <v>0</v>
      </c>
      <c r="I74" s="271">
        <v>0</v>
      </c>
      <c r="J74" s="271">
        <v>0</v>
      </c>
      <c r="K74" s="271">
        <v>0</v>
      </c>
      <c r="L74" s="271">
        <v>0</v>
      </c>
      <c r="M74" s="271">
        <v>0</v>
      </c>
      <c r="N74" s="271">
        <v>0</v>
      </c>
      <c r="O74" s="271">
        <v>0</v>
      </c>
      <c r="P74" s="271">
        <v>0</v>
      </c>
      <c r="Q74" s="271">
        <v>0</v>
      </c>
      <c r="R74" s="271">
        <v>0</v>
      </c>
      <c r="S74" s="272">
        <f>'№2 ИП ТС'!R102</f>
        <v>361.00083333333339</v>
      </c>
      <c r="T74" s="271">
        <v>0</v>
      </c>
      <c r="U74" s="271">
        <v>0</v>
      </c>
      <c r="V74" s="271">
        <v>0</v>
      </c>
      <c r="W74" s="271">
        <v>0</v>
      </c>
      <c r="X74" s="271">
        <v>0</v>
      </c>
      <c r="Y74" s="271">
        <v>0</v>
      </c>
      <c r="Z74" s="271">
        <v>0</v>
      </c>
      <c r="AA74" s="271">
        <v>0</v>
      </c>
      <c r="AB74" s="271">
        <v>0</v>
      </c>
      <c r="AC74" s="271">
        <v>0</v>
      </c>
      <c r="AD74" s="271">
        <v>0</v>
      </c>
      <c r="AE74" s="271">
        <v>0</v>
      </c>
      <c r="AF74" s="273">
        <f t="shared" si="1"/>
        <v>361.00083333333339</v>
      </c>
    </row>
    <row r="75" spans="1:32" ht="78" thickBot="1" x14ac:dyDescent="0.3">
      <c r="A75" s="200">
        <v>70</v>
      </c>
      <c r="B75" s="203" t="str">
        <f>'№2 ИП ТС'!B103</f>
        <v>Реконструкция тепловых сетей (подземной прокладки с выносом на поверхность) в п. Верхний Ландех, ул. Строителей, д.24А , от У-10А до ТК-14, L=12м, Ду100, надземная прокладка</v>
      </c>
      <c r="C75" s="151" t="str">
        <f>'№2 ИП ТС'!E103</f>
        <v>п. Верхний Ландех, тепловая сеть от котельной № 3 по ул. Строителей</v>
      </c>
      <c r="D75" s="271">
        <v>0</v>
      </c>
      <c r="E75" s="271">
        <v>0</v>
      </c>
      <c r="F75" s="271">
        <v>0</v>
      </c>
      <c r="G75" s="271">
        <v>0</v>
      </c>
      <c r="H75" s="271">
        <v>0</v>
      </c>
      <c r="I75" s="271">
        <v>0</v>
      </c>
      <c r="J75" s="271">
        <v>0</v>
      </c>
      <c r="K75" s="271">
        <v>0</v>
      </c>
      <c r="L75" s="271">
        <v>0</v>
      </c>
      <c r="M75" s="271">
        <v>0</v>
      </c>
      <c r="N75" s="271">
        <v>0</v>
      </c>
      <c r="O75" s="271">
        <v>0</v>
      </c>
      <c r="P75" s="271">
        <v>0</v>
      </c>
      <c r="Q75" s="271">
        <v>0</v>
      </c>
      <c r="R75" s="271">
        <v>0</v>
      </c>
      <c r="S75" s="272">
        <f>'№2 ИП ТС'!R103</f>
        <v>273.42599999999999</v>
      </c>
      <c r="T75" s="271">
        <v>0</v>
      </c>
      <c r="U75" s="271">
        <v>0</v>
      </c>
      <c r="V75" s="271">
        <v>0</v>
      </c>
      <c r="W75" s="271">
        <v>0</v>
      </c>
      <c r="X75" s="271">
        <v>0</v>
      </c>
      <c r="Y75" s="271">
        <v>0</v>
      </c>
      <c r="Z75" s="271">
        <v>0</v>
      </c>
      <c r="AA75" s="271">
        <v>0</v>
      </c>
      <c r="AB75" s="271">
        <v>0</v>
      </c>
      <c r="AC75" s="271">
        <v>0</v>
      </c>
      <c r="AD75" s="271">
        <v>0</v>
      </c>
      <c r="AE75" s="271">
        <v>0</v>
      </c>
      <c r="AF75" s="273">
        <f t="shared" si="1"/>
        <v>273.42599999999999</v>
      </c>
    </row>
    <row r="76" spans="1:32" ht="52.5" thickBot="1" x14ac:dyDescent="0.3">
      <c r="A76" s="200">
        <v>71</v>
      </c>
      <c r="B76" s="203" t="str">
        <f>'№2 ИП ТС'!B104</f>
        <v>Реконструкция тепловых сетей в п. Верхний Ландех, от У-1 до У-2, L=11м, Ду80, надземная прокладка</v>
      </c>
      <c r="C76" s="151" t="str">
        <f>'№2 ИП ТС'!E104</f>
        <v>п. Верхний Ландех, тепловая сеть от котельной № 4 по ул. Школьная</v>
      </c>
      <c r="D76" s="271">
        <v>0</v>
      </c>
      <c r="E76" s="271">
        <v>0</v>
      </c>
      <c r="F76" s="271">
        <v>0</v>
      </c>
      <c r="G76" s="271">
        <v>0</v>
      </c>
      <c r="H76" s="271">
        <v>0</v>
      </c>
      <c r="I76" s="271">
        <v>0</v>
      </c>
      <c r="J76" s="271">
        <v>0</v>
      </c>
      <c r="K76" s="271">
        <v>0</v>
      </c>
      <c r="L76" s="271">
        <v>0</v>
      </c>
      <c r="M76" s="271">
        <v>0</v>
      </c>
      <c r="N76" s="271">
        <v>0</v>
      </c>
      <c r="O76" s="271">
        <v>0</v>
      </c>
      <c r="P76" s="271">
        <v>0</v>
      </c>
      <c r="Q76" s="271">
        <v>0</v>
      </c>
      <c r="R76" s="271">
        <v>0</v>
      </c>
      <c r="S76" s="272">
        <f>'№2 ИП ТС'!R104</f>
        <v>243.62</v>
      </c>
      <c r="T76" s="271">
        <v>0</v>
      </c>
      <c r="U76" s="271">
        <v>0</v>
      </c>
      <c r="V76" s="271">
        <v>0</v>
      </c>
      <c r="W76" s="271">
        <v>0</v>
      </c>
      <c r="X76" s="271">
        <v>0</v>
      </c>
      <c r="Y76" s="271">
        <v>0</v>
      </c>
      <c r="Z76" s="271">
        <v>0</v>
      </c>
      <c r="AA76" s="271">
        <v>0</v>
      </c>
      <c r="AB76" s="271">
        <v>0</v>
      </c>
      <c r="AC76" s="271">
        <v>0</v>
      </c>
      <c r="AD76" s="271">
        <v>0</v>
      </c>
      <c r="AE76" s="271">
        <v>0</v>
      </c>
      <c r="AF76" s="273">
        <f t="shared" si="1"/>
        <v>243.62</v>
      </c>
    </row>
    <row r="77" spans="1:32" ht="78" thickBot="1" x14ac:dyDescent="0.3">
      <c r="A77" s="200">
        <v>72</v>
      </c>
      <c r="B77" s="203" t="str">
        <f>'№2 ИП ТС'!B105</f>
        <v>Реконструкция тепловых сетей (подземной прокладки с выносом на поверхность) в п. Верхний Ландех, от У-2 до У-4, L=24,5м, Ду80, надземная прокладка</v>
      </c>
      <c r="C77" s="151" t="str">
        <f>'№2 ИП ТС'!E105</f>
        <v>п. Верхний Ландех, тепловая сеть от котельной № 4 по ул. Школьная</v>
      </c>
      <c r="D77" s="271">
        <v>0</v>
      </c>
      <c r="E77" s="271">
        <v>0</v>
      </c>
      <c r="F77" s="271">
        <v>0</v>
      </c>
      <c r="G77" s="271">
        <v>0</v>
      </c>
      <c r="H77" s="271">
        <v>0</v>
      </c>
      <c r="I77" s="271">
        <v>0</v>
      </c>
      <c r="J77" s="271">
        <v>0</v>
      </c>
      <c r="K77" s="271">
        <v>0</v>
      </c>
      <c r="L77" s="271">
        <v>0</v>
      </c>
      <c r="M77" s="271">
        <v>0</v>
      </c>
      <c r="N77" s="271">
        <v>0</v>
      </c>
      <c r="O77" s="271">
        <v>0</v>
      </c>
      <c r="P77" s="271">
        <v>0</v>
      </c>
      <c r="Q77" s="271">
        <v>0</v>
      </c>
      <c r="R77" s="271">
        <v>0</v>
      </c>
      <c r="S77" s="272">
        <f>'№2 ИП ТС'!R105</f>
        <v>542.60833333333335</v>
      </c>
      <c r="T77" s="271">
        <v>0</v>
      </c>
      <c r="U77" s="271">
        <v>0</v>
      </c>
      <c r="V77" s="271">
        <v>0</v>
      </c>
      <c r="W77" s="271">
        <v>0</v>
      </c>
      <c r="X77" s="271">
        <v>0</v>
      </c>
      <c r="Y77" s="271">
        <v>0</v>
      </c>
      <c r="Z77" s="271">
        <v>0</v>
      </c>
      <c r="AA77" s="271">
        <v>0</v>
      </c>
      <c r="AB77" s="271">
        <v>0</v>
      </c>
      <c r="AC77" s="271">
        <v>0</v>
      </c>
      <c r="AD77" s="271">
        <v>0</v>
      </c>
      <c r="AE77" s="271">
        <v>0</v>
      </c>
      <c r="AF77" s="273">
        <f t="shared" si="1"/>
        <v>542.60833333333335</v>
      </c>
    </row>
    <row r="78" spans="1:32" ht="90.75" thickBot="1" x14ac:dyDescent="0.3">
      <c r="A78" s="200">
        <v>73</v>
      </c>
      <c r="B78" s="203" t="str">
        <f>'№2 ИП ТС'!B115</f>
        <v>Вывод из эксплуатации существующего надземного участка тепловой сети в п. Верхний Ландех, ул.  Новая, 1А от У-33 до ул. Рабочая, д. 4,  D-32 мм L= 13,40 м в двухтрубном исполнении</v>
      </c>
      <c r="C78" s="151" t="str">
        <f>'№2 ИП ТС'!E115</f>
        <v>п. Верхний Ландех, тепловая сеть от котельной № 1 по ул. Новая, д. 1А</v>
      </c>
      <c r="D78" s="271">
        <v>0</v>
      </c>
      <c r="E78" s="271">
        <v>0</v>
      </c>
      <c r="F78" s="271">
        <v>0</v>
      </c>
      <c r="G78" s="271">
        <v>0</v>
      </c>
      <c r="H78" s="271">
        <v>0</v>
      </c>
      <c r="I78" s="271">
        <v>0</v>
      </c>
      <c r="J78" s="271">
        <v>0</v>
      </c>
      <c r="K78" s="271">
        <v>0</v>
      </c>
      <c r="L78" s="271">
        <v>0</v>
      </c>
      <c r="M78" s="271">
        <v>0</v>
      </c>
      <c r="N78" s="271">
        <v>0</v>
      </c>
      <c r="O78" s="271">
        <v>0</v>
      </c>
      <c r="P78" s="271">
        <v>0</v>
      </c>
      <c r="Q78" s="271">
        <v>0</v>
      </c>
      <c r="R78" s="271">
        <v>0</v>
      </c>
      <c r="S78" s="271">
        <v>0</v>
      </c>
      <c r="T78" s="271">
        <v>0</v>
      </c>
      <c r="U78" s="271">
        <v>0</v>
      </c>
      <c r="V78" s="271">
        <v>0</v>
      </c>
      <c r="W78" s="271">
        <v>0</v>
      </c>
      <c r="X78" s="271">
        <v>0</v>
      </c>
      <c r="Y78" s="271">
        <v>0</v>
      </c>
      <c r="Z78" s="271">
        <v>0</v>
      </c>
      <c r="AA78" s="271">
        <v>0</v>
      </c>
      <c r="AB78" s="271">
        <v>0</v>
      </c>
      <c r="AC78" s="271">
        <v>0</v>
      </c>
      <c r="AD78" s="271">
        <v>0</v>
      </c>
      <c r="AE78" s="271">
        <v>0</v>
      </c>
      <c r="AF78" s="273">
        <f t="shared" si="1"/>
        <v>0</v>
      </c>
    </row>
    <row r="79" spans="1:32" ht="78" thickBot="1" x14ac:dyDescent="0.3">
      <c r="A79" s="200">
        <v>74</v>
      </c>
      <c r="B79" s="203" t="str">
        <f>'№2 ИП ТС'!B116</f>
        <v>Вывод из эксплуатации существующего подземного участка тепловой сети в п. Верхний Ландех, ул. Новая, 1А от У-32 до У-33, D-32 мм L= 20,50 м в двухтрубном исполнении</v>
      </c>
      <c r="C79" s="151" t="str">
        <f>'№2 ИП ТС'!E116</f>
        <v>п. Верхний Ландех, тепловая сеть от котельной № 1 по ул. Новая, д. 1А</v>
      </c>
      <c r="D79" s="271">
        <v>0</v>
      </c>
      <c r="E79" s="271">
        <v>0</v>
      </c>
      <c r="F79" s="271">
        <v>0</v>
      </c>
      <c r="G79" s="271">
        <v>0</v>
      </c>
      <c r="H79" s="271">
        <v>0</v>
      </c>
      <c r="I79" s="271">
        <v>0</v>
      </c>
      <c r="J79" s="271">
        <v>0</v>
      </c>
      <c r="K79" s="271">
        <v>0</v>
      </c>
      <c r="L79" s="271">
        <v>0</v>
      </c>
      <c r="M79" s="271">
        <v>0</v>
      </c>
      <c r="N79" s="271">
        <v>0</v>
      </c>
      <c r="O79" s="271">
        <v>0</v>
      </c>
      <c r="P79" s="271">
        <v>0</v>
      </c>
      <c r="Q79" s="271">
        <v>0</v>
      </c>
      <c r="R79" s="271">
        <v>0</v>
      </c>
      <c r="S79" s="271">
        <v>0</v>
      </c>
      <c r="T79" s="271">
        <v>0</v>
      </c>
      <c r="U79" s="271">
        <v>0</v>
      </c>
      <c r="V79" s="271">
        <v>0</v>
      </c>
      <c r="W79" s="271">
        <v>0</v>
      </c>
      <c r="X79" s="271">
        <v>0</v>
      </c>
      <c r="Y79" s="271">
        <v>0</v>
      </c>
      <c r="Z79" s="271">
        <v>0</v>
      </c>
      <c r="AA79" s="271">
        <v>0</v>
      </c>
      <c r="AB79" s="271">
        <v>0</v>
      </c>
      <c r="AC79" s="271">
        <v>0</v>
      </c>
      <c r="AD79" s="271">
        <v>0</v>
      </c>
      <c r="AE79" s="271">
        <v>0</v>
      </c>
      <c r="AF79" s="273">
        <f t="shared" si="1"/>
        <v>0</v>
      </c>
    </row>
    <row r="80" spans="1:32" ht="90.75" thickBot="1" x14ac:dyDescent="0.3">
      <c r="A80" s="200">
        <v>75</v>
      </c>
      <c r="B80" s="203" t="str">
        <f>'№2 ИП ТС'!B117</f>
        <v>Вывод из эксплуатации существующего подземного участка тепловой сети в п. Верхний Ландех, ул. Новая, 1А от ТК-6 до Рабочая ул., д. 5,  D-45 мм L= 5,00 м в двухтрубном исполнении</v>
      </c>
      <c r="C80" s="151" t="str">
        <f>'№2 ИП ТС'!E117</f>
        <v>п. Верхний Ландех, тепловая сеть от котельной № 1 по ул. Новая, д. 1А</v>
      </c>
      <c r="D80" s="271">
        <v>0</v>
      </c>
      <c r="E80" s="271">
        <v>0</v>
      </c>
      <c r="F80" s="271">
        <v>0</v>
      </c>
      <c r="G80" s="271">
        <v>0</v>
      </c>
      <c r="H80" s="271">
        <v>0</v>
      </c>
      <c r="I80" s="271">
        <v>0</v>
      </c>
      <c r="J80" s="271">
        <v>0</v>
      </c>
      <c r="K80" s="271">
        <v>0</v>
      </c>
      <c r="L80" s="271">
        <v>0</v>
      </c>
      <c r="M80" s="271">
        <v>0</v>
      </c>
      <c r="N80" s="271">
        <v>0</v>
      </c>
      <c r="O80" s="271">
        <v>0</v>
      </c>
      <c r="P80" s="271">
        <v>0</v>
      </c>
      <c r="Q80" s="271">
        <v>0</v>
      </c>
      <c r="R80" s="271">
        <v>0</v>
      </c>
      <c r="S80" s="271">
        <v>0</v>
      </c>
      <c r="T80" s="271">
        <v>0</v>
      </c>
      <c r="U80" s="271">
        <v>0</v>
      </c>
      <c r="V80" s="271">
        <v>0</v>
      </c>
      <c r="W80" s="271">
        <v>0</v>
      </c>
      <c r="X80" s="271">
        <v>0</v>
      </c>
      <c r="Y80" s="271">
        <v>0</v>
      </c>
      <c r="Z80" s="271">
        <v>0</v>
      </c>
      <c r="AA80" s="271">
        <v>0</v>
      </c>
      <c r="AB80" s="271">
        <v>0</v>
      </c>
      <c r="AC80" s="271">
        <v>0</v>
      </c>
      <c r="AD80" s="271">
        <v>0</v>
      </c>
      <c r="AE80" s="271">
        <v>0</v>
      </c>
      <c r="AF80" s="273">
        <f t="shared" si="1"/>
        <v>0</v>
      </c>
    </row>
    <row r="81" spans="1:32" ht="90.75" thickBot="1" x14ac:dyDescent="0.3">
      <c r="A81" s="200">
        <v>76</v>
      </c>
      <c r="B81" s="203" t="str">
        <f>'№2 ИП ТС'!B118</f>
        <v>Вывод из эксплуатации существующего подземного участка тепловой сети в п. Верхний Ландех, ул. Новая, 1А от ТК-8 до Рабочая ул., д. 6,  D-57 мм L= 17,20 м в двухтрубном исполнении</v>
      </c>
      <c r="C81" s="151" t="str">
        <f>'№2 ИП ТС'!E118</f>
        <v>п. Верхний Ландех, тепловая сеть от котельной № 1 по ул. Новая, д. 1А</v>
      </c>
      <c r="D81" s="271">
        <v>0</v>
      </c>
      <c r="E81" s="271">
        <v>0</v>
      </c>
      <c r="F81" s="271">
        <v>0</v>
      </c>
      <c r="G81" s="271">
        <v>0</v>
      </c>
      <c r="H81" s="271">
        <v>0</v>
      </c>
      <c r="I81" s="271">
        <v>0</v>
      </c>
      <c r="J81" s="271">
        <v>0</v>
      </c>
      <c r="K81" s="271">
        <v>0</v>
      </c>
      <c r="L81" s="271">
        <v>0</v>
      </c>
      <c r="M81" s="271">
        <v>0</v>
      </c>
      <c r="N81" s="271">
        <v>0</v>
      </c>
      <c r="O81" s="271">
        <v>0</v>
      </c>
      <c r="P81" s="271">
        <v>0</v>
      </c>
      <c r="Q81" s="271">
        <v>0</v>
      </c>
      <c r="R81" s="271">
        <v>0</v>
      </c>
      <c r="S81" s="271">
        <v>0</v>
      </c>
      <c r="T81" s="271">
        <v>0</v>
      </c>
      <c r="U81" s="271">
        <v>0</v>
      </c>
      <c r="V81" s="271">
        <v>0</v>
      </c>
      <c r="W81" s="271">
        <v>0</v>
      </c>
      <c r="X81" s="271">
        <v>0</v>
      </c>
      <c r="Y81" s="271">
        <v>0</v>
      </c>
      <c r="Z81" s="271">
        <v>0</v>
      </c>
      <c r="AA81" s="271">
        <v>0</v>
      </c>
      <c r="AB81" s="271">
        <v>0</v>
      </c>
      <c r="AC81" s="271">
        <v>0</v>
      </c>
      <c r="AD81" s="271">
        <v>0</v>
      </c>
      <c r="AE81" s="271">
        <v>0</v>
      </c>
      <c r="AF81" s="273">
        <f t="shared" si="1"/>
        <v>0</v>
      </c>
    </row>
    <row r="82" spans="1:32" ht="90.75" thickBot="1" x14ac:dyDescent="0.3">
      <c r="A82" s="200">
        <v>77</v>
      </c>
      <c r="B82" s="203" t="str">
        <f>'№2 ИП ТС'!B119</f>
        <v>Вывод из эксплуатации существующего надземного участка тепловой сети в п. Верхний Ландех, ул. Новая, 1А от Котельная № 1 до У-1,  D-150 мм L= 5,60 м в двухтрубном исполнении</v>
      </c>
      <c r="C82" s="151" t="str">
        <f>'№2 ИП ТС'!E119</f>
        <v>п. Верхний Ландех, тепловая сеть от котельной № 1 по ул. Новая, д. 1А</v>
      </c>
      <c r="D82" s="271">
        <v>0</v>
      </c>
      <c r="E82" s="271">
        <v>0</v>
      </c>
      <c r="F82" s="271">
        <v>0</v>
      </c>
      <c r="G82" s="271">
        <v>0</v>
      </c>
      <c r="H82" s="271">
        <v>0</v>
      </c>
      <c r="I82" s="271">
        <v>0</v>
      </c>
      <c r="J82" s="271">
        <v>0</v>
      </c>
      <c r="K82" s="271">
        <v>0</v>
      </c>
      <c r="L82" s="271">
        <v>0</v>
      </c>
      <c r="M82" s="271">
        <v>0</v>
      </c>
      <c r="N82" s="271">
        <v>0</v>
      </c>
      <c r="O82" s="271">
        <v>0</v>
      </c>
      <c r="P82" s="271">
        <v>0</v>
      </c>
      <c r="Q82" s="271">
        <v>0</v>
      </c>
      <c r="R82" s="271">
        <v>0</v>
      </c>
      <c r="S82" s="271">
        <v>0</v>
      </c>
      <c r="T82" s="271">
        <v>0</v>
      </c>
      <c r="U82" s="271">
        <v>0</v>
      </c>
      <c r="V82" s="271">
        <v>0</v>
      </c>
      <c r="W82" s="271">
        <v>0</v>
      </c>
      <c r="X82" s="271">
        <v>0</v>
      </c>
      <c r="Y82" s="271">
        <v>0</v>
      </c>
      <c r="Z82" s="271">
        <v>0</v>
      </c>
      <c r="AA82" s="271">
        <v>0</v>
      </c>
      <c r="AB82" s="271">
        <v>0</v>
      </c>
      <c r="AC82" s="271">
        <v>0</v>
      </c>
      <c r="AD82" s="271">
        <v>0</v>
      </c>
      <c r="AE82" s="271">
        <v>0</v>
      </c>
      <c r="AF82" s="273">
        <f t="shared" si="1"/>
        <v>0</v>
      </c>
    </row>
    <row r="83" spans="1:32" ht="78" thickBot="1" x14ac:dyDescent="0.3">
      <c r="A83" s="200">
        <v>78</v>
      </c>
      <c r="B83" s="203" t="str">
        <f>'№2 ИП ТС'!B120</f>
        <v>Вывод из эксплуатации существующего надземного участка тепловой сети в п. Верхний Ландех, ул. Новая 1А от У-1 до У-2,  D-159 мм L= 5,00 м в двухтрубном исполнении</v>
      </c>
      <c r="C83" s="151" t="str">
        <f>'№2 ИП ТС'!E120</f>
        <v>п. Верхний Ландех, тепловая сеть от котельной № 1 по ул. Новая, д. 1А</v>
      </c>
      <c r="D83" s="271">
        <v>0</v>
      </c>
      <c r="E83" s="271">
        <v>0</v>
      </c>
      <c r="F83" s="271">
        <v>0</v>
      </c>
      <c r="G83" s="271">
        <v>0</v>
      </c>
      <c r="H83" s="271">
        <v>0</v>
      </c>
      <c r="I83" s="271">
        <v>0</v>
      </c>
      <c r="J83" s="271">
        <v>0</v>
      </c>
      <c r="K83" s="271">
        <v>0</v>
      </c>
      <c r="L83" s="271">
        <v>0</v>
      </c>
      <c r="M83" s="271">
        <v>0</v>
      </c>
      <c r="N83" s="271">
        <v>0</v>
      </c>
      <c r="O83" s="271">
        <v>0</v>
      </c>
      <c r="P83" s="271">
        <v>0</v>
      </c>
      <c r="Q83" s="271">
        <v>0</v>
      </c>
      <c r="R83" s="271">
        <v>0</v>
      </c>
      <c r="S83" s="271">
        <v>0</v>
      </c>
      <c r="T83" s="271">
        <v>0</v>
      </c>
      <c r="U83" s="271">
        <v>0</v>
      </c>
      <c r="V83" s="271">
        <v>0</v>
      </c>
      <c r="W83" s="271">
        <v>0</v>
      </c>
      <c r="X83" s="271">
        <v>0</v>
      </c>
      <c r="Y83" s="271">
        <v>0</v>
      </c>
      <c r="Z83" s="271">
        <v>0</v>
      </c>
      <c r="AA83" s="271">
        <v>0</v>
      </c>
      <c r="AB83" s="271">
        <v>0</v>
      </c>
      <c r="AC83" s="271">
        <v>0</v>
      </c>
      <c r="AD83" s="271">
        <v>0</v>
      </c>
      <c r="AE83" s="271">
        <v>0</v>
      </c>
      <c r="AF83" s="273">
        <f t="shared" si="1"/>
        <v>0</v>
      </c>
    </row>
    <row r="84" spans="1:32" ht="65.25" thickBot="1" x14ac:dyDescent="0.3">
      <c r="A84" s="200">
        <v>79</v>
      </c>
      <c r="B84" s="203" t="str">
        <f>'№2 ИП ТС'!B121</f>
        <v>Вывод из эксплуатации существующего подземного участка тепловой сети от У-2 до ТК-1,  D-76 мм L= 4,50 м в двухтрубном исполнении</v>
      </c>
      <c r="C84" s="151" t="str">
        <f>'№2 ИП ТС'!E121</f>
        <v>п. Верхний Ландех, тепловая сеть от котельной № 1 по ул. Новая, д. 1А</v>
      </c>
      <c r="D84" s="271">
        <v>0</v>
      </c>
      <c r="E84" s="271">
        <v>0</v>
      </c>
      <c r="F84" s="271">
        <v>0</v>
      </c>
      <c r="G84" s="271">
        <v>0</v>
      </c>
      <c r="H84" s="271">
        <v>0</v>
      </c>
      <c r="I84" s="271">
        <v>0</v>
      </c>
      <c r="J84" s="271">
        <v>0</v>
      </c>
      <c r="K84" s="271">
        <v>0</v>
      </c>
      <c r="L84" s="271">
        <v>0</v>
      </c>
      <c r="M84" s="271">
        <v>0</v>
      </c>
      <c r="N84" s="271">
        <v>0</v>
      </c>
      <c r="O84" s="271">
        <v>0</v>
      </c>
      <c r="P84" s="271">
        <v>0</v>
      </c>
      <c r="Q84" s="271">
        <v>0</v>
      </c>
      <c r="R84" s="271">
        <v>0</v>
      </c>
      <c r="S84" s="271">
        <v>0</v>
      </c>
      <c r="T84" s="271">
        <v>0</v>
      </c>
      <c r="U84" s="271">
        <v>0</v>
      </c>
      <c r="V84" s="271">
        <v>0</v>
      </c>
      <c r="W84" s="271">
        <v>0</v>
      </c>
      <c r="X84" s="271">
        <v>0</v>
      </c>
      <c r="Y84" s="271">
        <v>0</v>
      </c>
      <c r="Z84" s="271">
        <v>0</v>
      </c>
      <c r="AA84" s="271">
        <v>0</v>
      </c>
      <c r="AB84" s="271">
        <v>0</v>
      </c>
      <c r="AC84" s="271">
        <v>0</v>
      </c>
      <c r="AD84" s="271">
        <v>0</v>
      </c>
      <c r="AE84" s="271">
        <v>0</v>
      </c>
      <c r="AF84" s="273">
        <f t="shared" si="1"/>
        <v>0</v>
      </c>
    </row>
    <row r="85" spans="1:32" ht="78" thickBot="1" x14ac:dyDescent="0.3">
      <c r="A85" s="200">
        <v>80</v>
      </c>
      <c r="B85" s="203" t="str">
        <f>'№2 ИП ТС'!B122</f>
        <v>Вывод из эксплуатации существующего подземного участка тепловой сети от ТК-2 до Малыгина ул., д.20,  D-76 мм L= 85,00 м в двухтрубном исполнении</v>
      </c>
      <c r="C85" s="151" t="str">
        <f>'№2 ИП ТС'!E122</f>
        <v>п. Верхний Ландех, тепловая сеть от котельной № 1 по ул. Новая, д. 1А</v>
      </c>
      <c r="D85" s="271">
        <v>0</v>
      </c>
      <c r="E85" s="271">
        <v>0</v>
      </c>
      <c r="F85" s="271">
        <v>0</v>
      </c>
      <c r="G85" s="271">
        <v>0</v>
      </c>
      <c r="H85" s="271">
        <v>0</v>
      </c>
      <c r="I85" s="271">
        <v>0</v>
      </c>
      <c r="J85" s="271">
        <v>0</v>
      </c>
      <c r="K85" s="271">
        <v>0</v>
      </c>
      <c r="L85" s="271">
        <v>0</v>
      </c>
      <c r="M85" s="271">
        <v>0</v>
      </c>
      <c r="N85" s="271">
        <v>0</v>
      </c>
      <c r="O85" s="271">
        <v>0</v>
      </c>
      <c r="P85" s="271">
        <v>0</v>
      </c>
      <c r="Q85" s="271">
        <v>0</v>
      </c>
      <c r="R85" s="271">
        <v>0</v>
      </c>
      <c r="S85" s="271">
        <v>0</v>
      </c>
      <c r="T85" s="271">
        <v>0</v>
      </c>
      <c r="U85" s="271">
        <v>0</v>
      </c>
      <c r="V85" s="271">
        <v>0</v>
      </c>
      <c r="W85" s="271">
        <v>0</v>
      </c>
      <c r="X85" s="271">
        <v>0</v>
      </c>
      <c r="Y85" s="271">
        <v>0</v>
      </c>
      <c r="Z85" s="271">
        <v>0</v>
      </c>
      <c r="AA85" s="271">
        <v>0</v>
      </c>
      <c r="AB85" s="271">
        <v>0</v>
      </c>
      <c r="AC85" s="271">
        <v>0</v>
      </c>
      <c r="AD85" s="271">
        <v>0</v>
      </c>
      <c r="AE85" s="271">
        <v>0</v>
      </c>
      <c r="AF85" s="273">
        <f t="shared" si="1"/>
        <v>0</v>
      </c>
    </row>
    <row r="86" spans="1:32" ht="78" thickBot="1" x14ac:dyDescent="0.3">
      <c r="A86" s="200">
        <v>81</v>
      </c>
      <c r="B86" s="203" t="str">
        <f>'№2 ИП ТС'!B123</f>
        <v>Вывод из эксплуатации существующего подземного участка тепловой сети в п. Верхний Ландех, ул. Новая, 1А от ТК-1 до ТК-2,  D-57 мм L= 93,50 м в двухтрубном исполнении</v>
      </c>
      <c r="C86" s="151" t="str">
        <f>'№2 ИП ТС'!E123</f>
        <v>п. Верхний Ландех, тепловая сеть от котельной № 1 по ул. Новая, д.1А</v>
      </c>
      <c r="D86" s="271">
        <v>0</v>
      </c>
      <c r="E86" s="271">
        <v>0</v>
      </c>
      <c r="F86" s="271">
        <v>0</v>
      </c>
      <c r="G86" s="271">
        <v>0</v>
      </c>
      <c r="H86" s="271">
        <v>0</v>
      </c>
      <c r="I86" s="271">
        <v>0</v>
      </c>
      <c r="J86" s="271">
        <v>0</v>
      </c>
      <c r="K86" s="271">
        <v>0</v>
      </c>
      <c r="L86" s="271">
        <v>0</v>
      </c>
      <c r="M86" s="271">
        <v>0</v>
      </c>
      <c r="N86" s="271">
        <v>0</v>
      </c>
      <c r="O86" s="271">
        <v>0</v>
      </c>
      <c r="P86" s="271">
        <v>0</v>
      </c>
      <c r="Q86" s="271">
        <v>0</v>
      </c>
      <c r="R86" s="271">
        <v>0</v>
      </c>
      <c r="S86" s="271">
        <v>0</v>
      </c>
      <c r="T86" s="271">
        <v>0</v>
      </c>
      <c r="U86" s="271">
        <v>0</v>
      </c>
      <c r="V86" s="271">
        <v>0</v>
      </c>
      <c r="W86" s="271">
        <v>0</v>
      </c>
      <c r="X86" s="271">
        <v>0</v>
      </c>
      <c r="Y86" s="271">
        <v>0</v>
      </c>
      <c r="Z86" s="271">
        <v>0</v>
      </c>
      <c r="AA86" s="271">
        <v>0</v>
      </c>
      <c r="AB86" s="271">
        <v>0</v>
      </c>
      <c r="AC86" s="271">
        <v>0</v>
      </c>
      <c r="AD86" s="271">
        <v>0</v>
      </c>
      <c r="AE86" s="271">
        <v>0</v>
      </c>
      <c r="AF86" s="273">
        <f t="shared" si="1"/>
        <v>0</v>
      </c>
    </row>
    <row r="87" spans="1:32" ht="90.75" thickBot="1" x14ac:dyDescent="0.3">
      <c r="A87" s="200">
        <v>82</v>
      </c>
      <c r="B87" s="203" t="str">
        <f>'№2 ИП ТС'!B124</f>
        <v>Вывод из эксплуатации существующего надземного участка тепловой сети в п. Верхний Ландех, ул. Новая, 1А от У-15 до Восточная ул., д. 1,  D-76 мм L= 5,00 м в двухтрубном исполнении</v>
      </c>
      <c r="C87" s="151" t="str">
        <f>'№2 ИП ТС'!E124</f>
        <v>п. Верхний Ландех, тепловая сеть от котельной № 1 по ул. Новая, д. 1А</v>
      </c>
      <c r="D87" s="271">
        <v>0</v>
      </c>
      <c r="E87" s="271">
        <v>0</v>
      </c>
      <c r="F87" s="271">
        <v>0</v>
      </c>
      <c r="G87" s="271">
        <v>0</v>
      </c>
      <c r="H87" s="271">
        <v>0</v>
      </c>
      <c r="I87" s="271">
        <v>0</v>
      </c>
      <c r="J87" s="271">
        <v>0</v>
      </c>
      <c r="K87" s="271">
        <v>0</v>
      </c>
      <c r="L87" s="271">
        <v>0</v>
      </c>
      <c r="M87" s="271">
        <v>0</v>
      </c>
      <c r="N87" s="271">
        <v>0</v>
      </c>
      <c r="O87" s="271">
        <v>0</v>
      </c>
      <c r="P87" s="271">
        <v>0</v>
      </c>
      <c r="Q87" s="271">
        <v>0</v>
      </c>
      <c r="R87" s="271">
        <v>0</v>
      </c>
      <c r="S87" s="271">
        <v>0</v>
      </c>
      <c r="T87" s="271">
        <v>0</v>
      </c>
      <c r="U87" s="271">
        <v>0</v>
      </c>
      <c r="V87" s="271">
        <v>0</v>
      </c>
      <c r="W87" s="271">
        <v>0</v>
      </c>
      <c r="X87" s="271">
        <v>0</v>
      </c>
      <c r="Y87" s="271">
        <v>0</v>
      </c>
      <c r="Z87" s="271">
        <v>0</v>
      </c>
      <c r="AA87" s="271">
        <v>0</v>
      </c>
      <c r="AB87" s="271">
        <v>0</v>
      </c>
      <c r="AC87" s="271">
        <v>0</v>
      </c>
      <c r="AD87" s="271">
        <v>0</v>
      </c>
      <c r="AE87" s="271">
        <v>0</v>
      </c>
      <c r="AF87" s="273">
        <f t="shared" si="1"/>
        <v>0</v>
      </c>
    </row>
    <row r="88" spans="1:32" ht="78" thickBot="1" x14ac:dyDescent="0.3">
      <c r="A88" s="200">
        <v>83</v>
      </c>
      <c r="B88" s="203" t="str">
        <f>'№2 ИП ТС'!B125</f>
        <v>Вывод из эксплуатации сущест-вующего надземного участка тепловой сети в п. Верхний Ландех, ул. Новая, 1А от У-19 до Восточная ул., д. 2а,  D-76 мм L= 8,10 м в двухтрубном исполнении</v>
      </c>
      <c r="C88" s="151" t="str">
        <f>'№2 ИП ТС'!E125</f>
        <v>п. Верхний Ландех, тепловая сеть от котельной № 1 по ул. Новая, д. 1А</v>
      </c>
      <c r="D88" s="271">
        <v>0</v>
      </c>
      <c r="E88" s="271">
        <v>0</v>
      </c>
      <c r="F88" s="271">
        <v>0</v>
      </c>
      <c r="G88" s="271">
        <v>0</v>
      </c>
      <c r="H88" s="271">
        <v>0</v>
      </c>
      <c r="I88" s="271">
        <v>0</v>
      </c>
      <c r="J88" s="271">
        <v>0</v>
      </c>
      <c r="K88" s="271">
        <v>0</v>
      </c>
      <c r="L88" s="271">
        <v>0</v>
      </c>
      <c r="M88" s="271">
        <v>0</v>
      </c>
      <c r="N88" s="271">
        <v>0</v>
      </c>
      <c r="O88" s="271">
        <v>0</v>
      </c>
      <c r="P88" s="271">
        <v>0</v>
      </c>
      <c r="Q88" s="271">
        <v>0</v>
      </c>
      <c r="R88" s="271">
        <v>0</v>
      </c>
      <c r="S88" s="271">
        <v>0</v>
      </c>
      <c r="T88" s="271">
        <v>0</v>
      </c>
      <c r="U88" s="271">
        <v>0</v>
      </c>
      <c r="V88" s="271">
        <v>0</v>
      </c>
      <c r="W88" s="271">
        <v>0</v>
      </c>
      <c r="X88" s="271">
        <v>0</v>
      </c>
      <c r="Y88" s="271">
        <v>0</v>
      </c>
      <c r="Z88" s="271">
        <v>0</v>
      </c>
      <c r="AA88" s="271">
        <v>0</v>
      </c>
      <c r="AB88" s="271">
        <v>0</v>
      </c>
      <c r="AC88" s="271">
        <v>0</v>
      </c>
      <c r="AD88" s="271">
        <v>0</v>
      </c>
      <c r="AE88" s="271">
        <v>0</v>
      </c>
      <c r="AF88" s="273">
        <f t="shared" si="1"/>
        <v>0</v>
      </c>
    </row>
    <row r="89" spans="1:32" ht="90.75" thickBot="1" x14ac:dyDescent="0.3">
      <c r="A89" s="200">
        <v>84</v>
      </c>
      <c r="B89" s="203" t="str">
        <f>'№2 ИП ТС'!B126</f>
        <v>Вывод из эксплуатации существующего надземного участка тепловой сети в п. Верхний Ландех ул. Октябрьская от Котельной № 2 до У-1Б D-108 мм L= 10,00 м в двухтрубном исполнении</v>
      </c>
      <c r="C89" s="151" t="str">
        <f>'№2 ИП ТС'!E126</f>
        <v>п. Верхний Ландех, тепловая сеть от котельной № 2 по ул. Октябрьская</v>
      </c>
      <c r="D89" s="271">
        <v>0</v>
      </c>
      <c r="E89" s="271">
        <v>0</v>
      </c>
      <c r="F89" s="271">
        <v>0</v>
      </c>
      <c r="G89" s="271">
        <v>0</v>
      </c>
      <c r="H89" s="271">
        <v>0</v>
      </c>
      <c r="I89" s="271">
        <v>0</v>
      </c>
      <c r="J89" s="271">
        <v>0</v>
      </c>
      <c r="K89" s="271">
        <v>0</v>
      </c>
      <c r="L89" s="271">
        <v>0</v>
      </c>
      <c r="M89" s="271">
        <v>0</v>
      </c>
      <c r="N89" s="271">
        <v>0</v>
      </c>
      <c r="O89" s="271">
        <v>0</v>
      </c>
      <c r="P89" s="271">
        <v>0</v>
      </c>
      <c r="Q89" s="271">
        <v>0</v>
      </c>
      <c r="R89" s="271">
        <v>0</v>
      </c>
      <c r="S89" s="271">
        <v>0</v>
      </c>
      <c r="T89" s="271">
        <v>0</v>
      </c>
      <c r="U89" s="271">
        <v>0</v>
      </c>
      <c r="V89" s="271">
        <v>0</v>
      </c>
      <c r="W89" s="271">
        <v>0</v>
      </c>
      <c r="X89" s="271">
        <v>0</v>
      </c>
      <c r="Y89" s="271">
        <v>0</v>
      </c>
      <c r="Z89" s="271">
        <v>0</v>
      </c>
      <c r="AA89" s="271">
        <v>0</v>
      </c>
      <c r="AB89" s="271">
        <v>0</v>
      </c>
      <c r="AC89" s="271">
        <v>0</v>
      </c>
      <c r="AD89" s="271">
        <v>0</v>
      </c>
      <c r="AE89" s="271">
        <v>0</v>
      </c>
      <c r="AF89" s="273">
        <f t="shared" si="1"/>
        <v>0</v>
      </c>
    </row>
    <row r="90" spans="1:32" ht="78" thickBot="1" x14ac:dyDescent="0.3">
      <c r="A90" s="200">
        <v>85</v>
      </c>
      <c r="B90" s="203" t="str">
        <f>'№2 ИП ТС'!B127</f>
        <v>Вывод из эксплуатации существующего подземного участка тепловой сети в п. Верхний Ландех ул. Октябрьская от У-1 до ТК-2, D-108 мм L= 35,00 м в двухтрубном исполнении</v>
      </c>
      <c r="C90" s="151" t="str">
        <f>'№2 ИП ТС'!E127</f>
        <v>п. Верхний Ландех, тепловая сеть от котельной № 2 по ул. Октябрьская</v>
      </c>
      <c r="D90" s="271">
        <v>0</v>
      </c>
      <c r="E90" s="271">
        <v>0</v>
      </c>
      <c r="F90" s="271">
        <v>0</v>
      </c>
      <c r="G90" s="271">
        <v>0</v>
      </c>
      <c r="H90" s="271">
        <v>0</v>
      </c>
      <c r="I90" s="271">
        <v>0</v>
      </c>
      <c r="J90" s="271">
        <v>0</v>
      </c>
      <c r="K90" s="271">
        <v>0</v>
      </c>
      <c r="L90" s="271">
        <v>0</v>
      </c>
      <c r="M90" s="271">
        <v>0</v>
      </c>
      <c r="N90" s="271">
        <v>0</v>
      </c>
      <c r="O90" s="271">
        <v>0</v>
      </c>
      <c r="P90" s="271">
        <v>0</v>
      </c>
      <c r="Q90" s="271">
        <v>0</v>
      </c>
      <c r="R90" s="271">
        <v>0</v>
      </c>
      <c r="S90" s="271">
        <v>0</v>
      </c>
      <c r="T90" s="271">
        <v>0</v>
      </c>
      <c r="U90" s="271">
        <v>0</v>
      </c>
      <c r="V90" s="271">
        <v>0</v>
      </c>
      <c r="W90" s="271">
        <v>0</v>
      </c>
      <c r="X90" s="271">
        <v>0</v>
      </c>
      <c r="Y90" s="271">
        <v>0</v>
      </c>
      <c r="Z90" s="271">
        <v>0</v>
      </c>
      <c r="AA90" s="271">
        <v>0</v>
      </c>
      <c r="AB90" s="271">
        <v>0</v>
      </c>
      <c r="AC90" s="271">
        <v>0</v>
      </c>
      <c r="AD90" s="271">
        <v>0</v>
      </c>
      <c r="AE90" s="271">
        <v>0</v>
      </c>
      <c r="AF90" s="273">
        <f t="shared" si="1"/>
        <v>0</v>
      </c>
    </row>
    <row r="91" spans="1:32" ht="78" thickBot="1" x14ac:dyDescent="0.3">
      <c r="A91" s="200">
        <v>86</v>
      </c>
      <c r="B91" s="203" t="str">
        <f>'№2 ИП ТС'!B128</f>
        <v>Вывод из эксплуатации существующего подземного участка тепловой сети в п. Верхний Ландех ул. Октябрьская от ТК-2 до ТК-3, D-76 мм L= 37 м в двухтрубном исполнении</v>
      </c>
      <c r="C91" s="151" t="str">
        <f>'№2 ИП ТС'!E128</f>
        <v>п. Верхний Ландех, тепловая сеть от котельной № 2 по ул. Октябрьская</v>
      </c>
      <c r="D91" s="271">
        <v>0</v>
      </c>
      <c r="E91" s="271">
        <v>0</v>
      </c>
      <c r="F91" s="271">
        <v>0</v>
      </c>
      <c r="G91" s="271">
        <v>0</v>
      </c>
      <c r="H91" s="271">
        <v>0</v>
      </c>
      <c r="I91" s="271">
        <v>0</v>
      </c>
      <c r="J91" s="271">
        <v>0</v>
      </c>
      <c r="K91" s="271">
        <v>0</v>
      </c>
      <c r="L91" s="271">
        <v>0</v>
      </c>
      <c r="M91" s="271">
        <v>0</v>
      </c>
      <c r="N91" s="271">
        <v>0</v>
      </c>
      <c r="O91" s="271">
        <v>0</v>
      </c>
      <c r="P91" s="271">
        <v>0</v>
      </c>
      <c r="Q91" s="271">
        <v>0</v>
      </c>
      <c r="R91" s="271">
        <v>0</v>
      </c>
      <c r="S91" s="271">
        <v>0</v>
      </c>
      <c r="T91" s="271">
        <v>0</v>
      </c>
      <c r="U91" s="271">
        <v>0</v>
      </c>
      <c r="V91" s="271">
        <v>0</v>
      </c>
      <c r="W91" s="271">
        <v>0</v>
      </c>
      <c r="X91" s="271">
        <v>0</v>
      </c>
      <c r="Y91" s="271">
        <v>0</v>
      </c>
      <c r="Z91" s="271">
        <v>0</v>
      </c>
      <c r="AA91" s="271">
        <v>0</v>
      </c>
      <c r="AB91" s="271">
        <v>0</v>
      </c>
      <c r="AC91" s="271">
        <v>0</v>
      </c>
      <c r="AD91" s="271">
        <v>0</v>
      </c>
      <c r="AE91" s="271">
        <v>0</v>
      </c>
      <c r="AF91" s="273">
        <f t="shared" si="1"/>
        <v>0</v>
      </c>
    </row>
    <row r="92" spans="1:32" ht="78" thickBot="1" x14ac:dyDescent="0.3">
      <c r="A92" s="200">
        <v>87</v>
      </c>
      <c r="B92" s="203" t="str">
        <f>'№2 ИП ТС'!B129</f>
        <v>Вывод из эксплуатации существующего подземного участка тепловой сети от ТК-3 до Октябрьская ул., д. 27, D-76 мм L= 74,00 м в двухтрубном исполнении</v>
      </c>
      <c r="C92" s="151" t="str">
        <f>'№2 ИП ТС'!E129</f>
        <v>п. Верхний Ландех, тепловая сеть от котельной № 2 по ул. Октябрьская</v>
      </c>
      <c r="D92" s="271">
        <v>0</v>
      </c>
      <c r="E92" s="271">
        <v>0</v>
      </c>
      <c r="F92" s="271">
        <v>0</v>
      </c>
      <c r="G92" s="271">
        <v>0</v>
      </c>
      <c r="H92" s="271">
        <v>0</v>
      </c>
      <c r="I92" s="271">
        <v>0</v>
      </c>
      <c r="J92" s="271">
        <v>0</v>
      </c>
      <c r="K92" s="271">
        <v>0</v>
      </c>
      <c r="L92" s="271">
        <v>0</v>
      </c>
      <c r="M92" s="271">
        <v>0</v>
      </c>
      <c r="N92" s="271">
        <v>0</v>
      </c>
      <c r="O92" s="271">
        <v>0</v>
      </c>
      <c r="P92" s="271">
        <v>0</v>
      </c>
      <c r="Q92" s="271">
        <v>0</v>
      </c>
      <c r="R92" s="271">
        <v>0</v>
      </c>
      <c r="S92" s="271">
        <v>0</v>
      </c>
      <c r="T92" s="271">
        <v>0</v>
      </c>
      <c r="U92" s="271">
        <v>0</v>
      </c>
      <c r="V92" s="271">
        <v>0</v>
      </c>
      <c r="W92" s="271">
        <v>0</v>
      </c>
      <c r="X92" s="271">
        <v>0</v>
      </c>
      <c r="Y92" s="271">
        <v>0</v>
      </c>
      <c r="Z92" s="271">
        <v>0</v>
      </c>
      <c r="AA92" s="271">
        <v>0</v>
      </c>
      <c r="AB92" s="271">
        <v>0</v>
      </c>
      <c r="AC92" s="271">
        <v>0</v>
      </c>
      <c r="AD92" s="271">
        <v>0</v>
      </c>
      <c r="AE92" s="271">
        <v>0</v>
      </c>
      <c r="AF92" s="273">
        <f t="shared" si="1"/>
        <v>0</v>
      </c>
    </row>
    <row r="93" spans="1:32" ht="78" thickBot="1" x14ac:dyDescent="0.3">
      <c r="A93" s="200">
        <v>88</v>
      </c>
      <c r="B93" s="203" t="str">
        <f>'№2 ИП ТС'!B130</f>
        <v>Вывод из эксплуатации существующего подземного участка тепловой сети от ТК-2 до Октябрьская ул., д. 31, D-76 мм L= 42,00 м в двухтрубном исполнении</v>
      </c>
      <c r="C93" s="151" t="str">
        <f>'№2 ИП ТС'!E130</f>
        <v>п. Верхний Ландех, тепловая сеть от котельной № 2 по ул. Октябрьская</v>
      </c>
      <c r="D93" s="271">
        <v>0</v>
      </c>
      <c r="E93" s="271">
        <v>0</v>
      </c>
      <c r="F93" s="271">
        <v>0</v>
      </c>
      <c r="G93" s="271">
        <v>0</v>
      </c>
      <c r="H93" s="271">
        <v>0</v>
      </c>
      <c r="I93" s="271">
        <v>0</v>
      </c>
      <c r="J93" s="271">
        <v>0</v>
      </c>
      <c r="K93" s="271">
        <v>0</v>
      </c>
      <c r="L93" s="271">
        <v>0</v>
      </c>
      <c r="M93" s="271">
        <v>0</v>
      </c>
      <c r="N93" s="271">
        <v>0</v>
      </c>
      <c r="O93" s="271">
        <v>0</v>
      </c>
      <c r="P93" s="271">
        <v>0</v>
      </c>
      <c r="Q93" s="271">
        <v>0</v>
      </c>
      <c r="R93" s="271">
        <v>0</v>
      </c>
      <c r="S93" s="271">
        <v>0</v>
      </c>
      <c r="T93" s="271">
        <v>0</v>
      </c>
      <c r="U93" s="271">
        <v>0</v>
      </c>
      <c r="V93" s="271">
        <v>0</v>
      </c>
      <c r="W93" s="271">
        <v>0</v>
      </c>
      <c r="X93" s="271">
        <v>0</v>
      </c>
      <c r="Y93" s="271">
        <v>0</v>
      </c>
      <c r="Z93" s="271">
        <v>0</v>
      </c>
      <c r="AA93" s="271">
        <v>0</v>
      </c>
      <c r="AB93" s="271">
        <v>0</v>
      </c>
      <c r="AC93" s="271">
        <v>0</v>
      </c>
      <c r="AD93" s="271">
        <v>0</v>
      </c>
      <c r="AE93" s="271">
        <v>0</v>
      </c>
      <c r="AF93" s="273">
        <f t="shared" si="1"/>
        <v>0</v>
      </c>
    </row>
    <row r="94" spans="1:32" ht="90.75" thickBot="1" x14ac:dyDescent="0.3">
      <c r="A94" s="200">
        <v>89</v>
      </c>
      <c r="B94" s="203" t="str">
        <f>'№2 ИП ТС'!B131</f>
        <v xml:space="preserve">Вывод из эксплуатации существующего подземного участка тепловой сети  в п. Верхний Ландех, ул. Строителей, д. 24А от Котельной №3 до ТК-1 D-133 мм L= 55,70 м в двухтрубном исполнении </v>
      </c>
      <c r="C94" s="151" t="str">
        <f>'№2 ИП ТС'!E131</f>
        <v>п. Верхний Ландех, тепловая сеть от котельной № 3 по ул. Строителей</v>
      </c>
      <c r="D94" s="271">
        <v>0</v>
      </c>
      <c r="E94" s="271">
        <v>0</v>
      </c>
      <c r="F94" s="271">
        <v>0</v>
      </c>
      <c r="G94" s="271">
        <v>0</v>
      </c>
      <c r="H94" s="271">
        <v>0</v>
      </c>
      <c r="I94" s="271">
        <v>0</v>
      </c>
      <c r="J94" s="271">
        <v>0</v>
      </c>
      <c r="K94" s="271">
        <v>0</v>
      </c>
      <c r="L94" s="271">
        <v>0</v>
      </c>
      <c r="M94" s="271">
        <v>0</v>
      </c>
      <c r="N94" s="271">
        <v>0</v>
      </c>
      <c r="O94" s="271">
        <v>0</v>
      </c>
      <c r="P94" s="271">
        <v>0</v>
      </c>
      <c r="Q94" s="271">
        <v>0</v>
      </c>
      <c r="R94" s="271">
        <v>0</v>
      </c>
      <c r="S94" s="271">
        <v>0</v>
      </c>
      <c r="T94" s="271">
        <v>0</v>
      </c>
      <c r="U94" s="271">
        <v>0</v>
      </c>
      <c r="V94" s="271">
        <v>0</v>
      </c>
      <c r="W94" s="271">
        <v>0</v>
      </c>
      <c r="X94" s="271">
        <v>0</v>
      </c>
      <c r="Y94" s="271">
        <v>0</v>
      </c>
      <c r="Z94" s="271">
        <v>0</v>
      </c>
      <c r="AA94" s="271">
        <v>0</v>
      </c>
      <c r="AB94" s="271">
        <v>0</v>
      </c>
      <c r="AC94" s="271">
        <v>0</v>
      </c>
      <c r="AD94" s="271">
        <v>0</v>
      </c>
      <c r="AE94" s="271">
        <v>0</v>
      </c>
      <c r="AF94" s="273">
        <f t="shared" si="1"/>
        <v>0</v>
      </c>
    </row>
    <row r="95" spans="1:32" ht="90.75" thickBot="1" x14ac:dyDescent="0.3">
      <c r="A95" s="200">
        <v>90</v>
      </c>
      <c r="B95" s="203" t="str">
        <f>'№2 ИП ТС'!B132</f>
        <v>Вывод из эксплуатации существующего подземного участка тепловой сети в п. Верхний Ландех, ул. Строителей, д. 24А от ТК-1 до У-0, D-133 мм L= 96,00 м в двухтрубном исполнении</v>
      </c>
      <c r="C95" s="151" t="str">
        <f>'№2 ИП ТС'!E132</f>
        <v>п. Верхний Ландех, тепловая сеть от котельной № 3 по ул. Строителей</v>
      </c>
      <c r="D95" s="271">
        <v>0</v>
      </c>
      <c r="E95" s="271">
        <v>0</v>
      </c>
      <c r="F95" s="271">
        <v>0</v>
      </c>
      <c r="G95" s="271">
        <v>0</v>
      </c>
      <c r="H95" s="271">
        <v>0</v>
      </c>
      <c r="I95" s="271">
        <v>0</v>
      </c>
      <c r="J95" s="271">
        <v>0</v>
      </c>
      <c r="K95" s="271">
        <v>0</v>
      </c>
      <c r="L95" s="271">
        <v>0</v>
      </c>
      <c r="M95" s="271">
        <v>0</v>
      </c>
      <c r="N95" s="271">
        <v>0</v>
      </c>
      <c r="O95" s="271">
        <v>0</v>
      </c>
      <c r="P95" s="271">
        <v>0</v>
      </c>
      <c r="Q95" s="271">
        <v>0</v>
      </c>
      <c r="R95" s="271">
        <v>0</v>
      </c>
      <c r="S95" s="271">
        <v>0</v>
      </c>
      <c r="T95" s="271">
        <v>0</v>
      </c>
      <c r="U95" s="271">
        <v>0</v>
      </c>
      <c r="V95" s="271">
        <v>0</v>
      </c>
      <c r="W95" s="271">
        <v>0</v>
      </c>
      <c r="X95" s="271">
        <v>0</v>
      </c>
      <c r="Y95" s="271">
        <v>0</v>
      </c>
      <c r="Z95" s="271">
        <v>0</v>
      </c>
      <c r="AA95" s="271">
        <v>0</v>
      </c>
      <c r="AB95" s="271">
        <v>0</v>
      </c>
      <c r="AC95" s="271">
        <v>0</v>
      </c>
      <c r="AD95" s="271">
        <v>0</v>
      </c>
      <c r="AE95" s="271">
        <v>0</v>
      </c>
      <c r="AF95" s="273">
        <f t="shared" si="1"/>
        <v>0</v>
      </c>
    </row>
    <row r="96" spans="1:32" ht="90.75" thickBot="1" x14ac:dyDescent="0.3">
      <c r="A96" s="200">
        <v>91</v>
      </c>
      <c r="B96" s="203" t="str">
        <f>'№2 ИП ТС'!B133</f>
        <v>Вывод из эксплуатации существующего подземного участка тепловой сети в п. Верхний Ландех, ул. Строителей,д. 24А от У-0 до ТК-2, D-159 мм L= 42,00 м в двухтрубном исполнении</v>
      </c>
      <c r="C96" s="151" t="str">
        <f>'№2 ИП ТС'!E133</f>
        <v>п. Верхний Ландех, тепловая сеть от котельной № 3 по ул. Строителей</v>
      </c>
      <c r="D96" s="271">
        <v>0</v>
      </c>
      <c r="E96" s="271">
        <v>0</v>
      </c>
      <c r="F96" s="271">
        <v>0</v>
      </c>
      <c r="G96" s="271">
        <v>0</v>
      </c>
      <c r="H96" s="271">
        <v>0</v>
      </c>
      <c r="I96" s="271">
        <v>0</v>
      </c>
      <c r="J96" s="271">
        <v>0</v>
      </c>
      <c r="K96" s="271">
        <v>0</v>
      </c>
      <c r="L96" s="271">
        <v>0</v>
      </c>
      <c r="M96" s="271">
        <v>0</v>
      </c>
      <c r="N96" s="271">
        <v>0</v>
      </c>
      <c r="O96" s="271">
        <v>0</v>
      </c>
      <c r="P96" s="271">
        <v>0</v>
      </c>
      <c r="Q96" s="271">
        <v>0</v>
      </c>
      <c r="R96" s="271">
        <v>0</v>
      </c>
      <c r="S96" s="271">
        <v>0</v>
      </c>
      <c r="T96" s="271">
        <v>0</v>
      </c>
      <c r="U96" s="271">
        <v>0</v>
      </c>
      <c r="V96" s="271">
        <v>0</v>
      </c>
      <c r="W96" s="271">
        <v>0</v>
      </c>
      <c r="X96" s="271">
        <v>0</v>
      </c>
      <c r="Y96" s="271">
        <v>0</v>
      </c>
      <c r="Z96" s="271">
        <v>0</v>
      </c>
      <c r="AA96" s="271">
        <v>0</v>
      </c>
      <c r="AB96" s="271">
        <v>0</v>
      </c>
      <c r="AC96" s="271">
        <v>0</v>
      </c>
      <c r="AD96" s="271">
        <v>0</v>
      </c>
      <c r="AE96" s="271">
        <v>0</v>
      </c>
      <c r="AF96" s="273">
        <f t="shared" si="1"/>
        <v>0</v>
      </c>
    </row>
    <row r="97" spans="1:32" ht="90.75" thickBot="1" x14ac:dyDescent="0.3">
      <c r="A97" s="200">
        <v>92</v>
      </c>
      <c r="B97" s="203" t="str">
        <f>'№2 ИП ТС'!B134</f>
        <v>Вывод из эксплуатации существующего подземного участка тепловой сети в п. Верхний Ландех, ул. Строителей, д. 24А от  У-10 до У-10А, D-108 мм L= 19,00 м в двухтрубном исполнении</v>
      </c>
      <c r="C97" s="151" t="str">
        <f>'№2 ИП ТС'!E134</f>
        <v>п. Верхний Ландех, тепловая сеть от котельной № 3 по ул. Строителей</v>
      </c>
      <c r="D97" s="271">
        <v>0</v>
      </c>
      <c r="E97" s="271">
        <v>0</v>
      </c>
      <c r="F97" s="271">
        <v>0</v>
      </c>
      <c r="G97" s="271">
        <v>0</v>
      </c>
      <c r="H97" s="271">
        <v>0</v>
      </c>
      <c r="I97" s="271">
        <v>0</v>
      </c>
      <c r="J97" s="271">
        <v>0</v>
      </c>
      <c r="K97" s="271">
        <v>0</v>
      </c>
      <c r="L97" s="271">
        <v>0</v>
      </c>
      <c r="M97" s="271">
        <v>0</v>
      </c>
      <c r="N97" s="271">
        <v>0</v>
      </c>
      <c r="O97" s="271">
        <v>0</v>
      </c>
      <c r="P97" s="271">
        <v>0</v>
      </c>
      <c r="Q97" s="271">
        <v>0</v>
      </c>
      <c r="R97" s="271">
        <v>0</v>
      </c>
      <c r="S97" s="271">
        <v>0</v>
      </c>
      <c r="T97" s="271">
        <v>0</v>
      </c>
      <c r="U97" s="271">
        <v>0</v>
      </c>
      <c r="V97" s="271">
        <v>0</v>
      </c>
      <c r="W97" s="271">
        <v>0</v>
      </c>
      <c r="X97" s="271">
        <v>0</v>
      </c>
      <c r="Y97" s="271">
        <v>0</v>
      </c>
      <c r="Z97" s="271">
        <v>0</v>
      </c>
      <c r="AA97" s="271">
        <v>0</v>
      </c>
      <c r="AB97" s="271">
        <v>0</v>
      </c>
      <c r="AC97" s="271">
        <v>0</v>
      </c>
      <c r="AD97" s="271">
        <v>0</v>
      </c>
      <c r="AE97" s="271">
        <v>0</v>
      </c>
      <c r="AF97" s="273">
        <f t="shared" si="1"/>
        <v>0</v>
      </c>
    </row>
    <row r="98" spans="1:32" ht="78" thickBot="1" x14ac:dyDescent="0.3">
      <c r="A98" s="200">
        <v>93</v>
      </c>
      <c r="B98" s="203" t="str">
        <f>'№2 ИП ТС'!B135</f>
        <v>Вывод из эксплуатации существующего подземного участка тепловой сети в п. Верхний Ландех пер. Школьный от У-1 до У-3 D-76 мм L= 32,70 м в двухтрубном исполнении</v>
      </c>
      <c r="C98" s="151" t="str">
        <f>'№2 ИП ТС'!E135</f>
        <v>п. Верхний Ландех, тепловая сеть от котельной № 4 по ул. Школьная</v>
      </c>
      <c r="D98" s="271">
        <v>0</v>
      </c>
      <c r="E98" s="271">
        <v>0</v>
      </c>
      <c r="F98" s="271">
        <v>0</v>
      </c>
      <c r="G98" s="271">
        <v>0</v>
      </c>
      <c r="H98" s="271">
        <v>0</v>
      </c>
      <c r="I98" s="271">
        <v>0</v>
      </c>
      <c r="J98" s="271">
        <v>0</v>
      </c>
      <c r="K98" s="271">
        <v>0</v>
      </c>
      <c r="L98" s="271">
        <v>0</v>
      </c>
      <c r="M98" s="271">
        <v>0</v>
      </c>
      <c r="N98" s="271">
        <v>0</v>
      </c>
      <c r="O98" s="271">
        <v>0</v>
      </c>
      <c r="P98" s="271">
        <v>0</v>
      </c>
      <c r="Q98" s="271">
        <v>0</v>
      </c>
      <c r="R98" s="271">
        <v>0</v>
      </c>
      <c r="S98" s="271">
        <v>0</v>
      </c>
      <c r="T98" s="271">
        <v>0</v>
      </c>
      <c r="U98" s="271">
        <v>0</v>
      </c>
      <c r="V98" s="271">
        <v>0</v>
      </c>
      <c r="W98" s="271">
        <v>0</v>
      </c>
      <c r="X98" s="271">
        <v>0</v>
      </c>
      <c r="Y98" s="271">
        <v>0</v>
      </c>
      <c r="Z98" s="271">
        <v>0</v>
      </c>
      <c r="AA98" s="271">
        <v>0</v>
      </c>
      <c r="AB98" s="271">
        <v>0</v>
      </c>
      <c r="AC98" s="271">
        <v>0</v>
      </c>
      <c r="AD98" s="271">
        <v>0</v>
      </c>
      <c r="AE98" s="271">
        <v>0</v>
      </c>
      <c r="AF98" s="273">
        <f t="shared" si="1"/>
        <v>0</v>
      </c>
    </row>
    <row r="99" spans="1:32" ht="90.75" thickBot="1" x14ac:dyDescent="0.3">
      <c r="A99" s="200">
        <v>94</v>
      </c>
      <c r="B99" s="203" t="str">
        <f>'№2 ИП ТС'!B136</f>
        <v>Вывод из эксплуатации существующего надземного участка тепловой сети в п. Верхний Ландех пер. Школьный от Котельная № 4 до У-1, D-133 мм  L= 2,10 м в двухтрубном исполнении</v>
      </c>
      <c r="C99" s="151" t="str">
        <f>'№2 ИП ТС'!E136</f>
        <v>п. Верхний Ландех, тепловая сеть от котельной № 4 по ул. Школьная</v>
      </c>
      <c r="D99" s="271">
        <v>0</v>
      </c>
      <c r="E99" s="271">
        <v>0</v>
      </c>
      <c r="F99" s="271">
        <v>0</v>
      </c>
      <c r="G99" s="271">
        <v>0</v>
      </c>
      <c r="H99" s="271">
        <v>0</v>
      </c>
      <c r="I99" s="271">
        <v>0</v>
      </c>
      <c r="J99" s="271">
        <v>0</v>
      </c>
      <c r="K99" s="271">
        <v>0</v>
      </c>
      <c r="L99" s="271">
        <v>0</v>
      </c>
      <c r="M99" s="271">
        <v>0</v>
      </c>
      <c r="N99" s="271">
        <v>0</v>
      </c>
      <c r="O99" s="271">
        <v>0</v>
      </c>
      <c r="P99" s="271">
        <v>0</v>
      </c>
      <c r="Q99" s="271">
        <v>0</v>
      </c>
      <c r="R99" s="271">
        <v>0</v>
      </c>
      <c r="S99" s="271">
        <v>0</v>
      </c>
      <c r="T99" s="271">
        <v>0</v>
      </c>
      <c r="U99" s="271">
        <v>0</v>
      </c>
      <c r="V99" s="271">
        <v>0</v>
      </c>
      <c r="W99" s="271">
        <v>0</v>
      </c>
      <c r="X99" s="271">
        <v>0</v>
      </c>
      <c r="Y99" s="271">
        <v>0</v>
      </c>
      <c r="Z99" s="271">
        <v>0</v>
      </c>
      <c r="AA99" s="271">
        <v>0</v>
      </c>
      <c r="AB99" s="271">
        <v>0</v>
      </c>
      <c r="AC99" s="271">
        <v>0</v>
      </c>
      <c r="AD99" s="271">
        <v>0</v>
      </c>
      <c r="AE99" s="271">
        <v>0</v>
      </c>
      <c r="AF99" s="273">
        <f t="shared" si="1"/>
        <v>0</v>
      </c>
    </row>
    <row r="100" spans="1:32" ht="78" thickBot="1" x14ac:dyDescent="0.3">
      <c r="A100" s="200">
        <v>95</v>
      </c>
      <c r="B100" s="203" t="str">
        <f>'№2 ИП ТС'!B137</f>
        <v>Вывод из эксплуатации существующего подземного участка тепловой сети от У-3 до Школьный пер., д. 3, D-76 мм L= 30,00 м в двухтрубном исполнении</v>
      </c>
      <c r="C100" s="151" t="str">
        <f>'№2 ИП ТС'!E137</f>
        <v>п. Верхний Ландех, тепловая сеть от котельной № 4 по ул. Школьная</v>
      </c>
      <c r="D100" s="271">
        <v>0</v>
      </c>
      <c r="E100" s="271">
        <v>0</v>
      </c>
      <c r="F100" s="271">
        <v>0</v>
      </c>
      <c r="G100" s="271">
        <v>0</v>
      </c>
      <c r="H100" s="271">
        <v>0</v>
      </c>
      <c r="I100" s="271">
        <v>0</v>
      </c>
      <c r="J100" s="271">
        <v>0</v>
      </c>
      <c r="K100" s="271">
        <v>0</v>
      </c>
      <c r="L100" s="271">
        <v>0</v>
      </c>
      <c r="M100" s="271">
        <v>0</v>
      </c>
      <c r="N100" s="271">
        <v>0</v>
      </c>
      <c r="O100" s="271">
        <v>0</v>
      </c>
      <c r="P100" s="271">
        <v>0</v>
      </c>
      <c r="Q100" s="271">
        <v>0</v>
      </c>
      <c r="R100" s="271">
        <v>0</v>
      </c>
      <c r="S100" s="271">
        <v>0</v>
      </c>
      <c r="T100" s="271">
        <v>0</v>
      </c>
      <c r="U100" s="271">
        <v>0</v>
      </c>
      <c r="V100" s="271">
        <v>0</v>
      </c>
      <c r="W100" s="271">
        <v>0</v>
      </c>
      <c r="X100" s="271">
        <v>0</v>
      </c>
      <c r="Y100" s="271">
        <v>0</v>
      </c>
      <c r="Z100" s="271">
        <v>0</v>
      </c>
      <c r="AA100" s="271">
        <v>0</v>
      </c>
      <c r="AB100" s="271">
        <v>0</v>
      </c>
      <c r="AC100" s="271">
        <v>0</v>
      </c>
      <c r="AD100" s="271">
        <v>0</v>
      </c>
      <c r="AE100" s="271">
        <v>0</v>
      </c>
      <c r="AF100" s="273">
        <f t="shared" si="1"/>
        <v>0</v>
      </c>
    </row>
    <row r="101" spans="1:32" ht="78" thickBot="1" x14ac:dyDescent="0.3">
      <c r="A101" s="200">
        <v>96</v>
      </c>
      <c r="B101" s="203" t="str">
        <f>'№2 ИП ТС'!B138</f>
        <v>Вывод из эксплуатации существующего надземного участка тепловой сети от Котельная № 4 до Школьный пер., д. 1, D-40 мм L= 259,70 м в двухтрубном исполнении</v>
      </c>
      <c r="C101" s="151" t="str">
        <f>'№2 ИП ТС'!E138</f>
        <v>п. Верхний Ландех, тепловая сеть от котельной № 4 по ул. Школьная</v>
      </c>
      <c r="D101" s="271">
        <v>0</v>
      </c>
      <c r="E101" s="271">
        <v>0</v>
      </c>
      <c r="F101" s="271">
        <v>0</v>
      </c>
      <c r="G101" s="271">
        <v>0</v>
      </c>
      <c r="H101" s="271">
        <v>0</v>
      </c>
      <c r="I101" s="271">
        <v>0</v>
      </c>
      <c r="J101" s="271">
        <v>0</v>
      </c>
      <c r="K101" s="271">
        <v>0</v>
      </c>
      <c r="L101" s="271">
        <v>0</v>
      </c>
      <c r="M101" s="271">
        <v>0</v>
      </c>
      <c r="N101" s="271">
        <v>0</v>
      </c>
      <c r="O101" s="271">
        <v>0</v>
      </c>
      <c r="P101" s="271">
        <v>0</v>
      </c>
      <c r="Q101" s="271">
        <v>0</v>
      </c>
      <c r="R101" s="271">
        <v>0</v>
      </c>
      <c r="S101" s="271">
        <v>0</v>
      </c>
      <c r="T101" s="271">
        <v>0</v>
      </c>
      <c r="U101" s="271">
        <v>0</v>
      </c>
      <c r="V101" s="271">
        <v>0</v>
      </c>
      <c r="W101" s="271">
        <v>0</v>
      </c>
      <c r="X101" s="271">
        <v>0</v>
      </c>
      <c r="Y101" s="271">
        <v>0</v>
      </c>
      <c r="Z101" s="271">
        <v>0</v>
      </c>
      <c r="AA101" s="271">
        <v>0</v>
      </c>
      <c r="AB101" s="271">
        <v>0</v>
      </c>
      <c r="AC101" s="271">
        <v>0</v>
      </c>
      <c r="AD101" s="271">
        <v>0</v>
      </c>
      <c r="AE101" s="271">
        <v>0</v>
      </c>
      <c r="AF101" s="273">
        <f t="shared" si="1"/>
        <v>0</v>
      </c>
    </row>
    <row r="102" spans="1:32" ht="63" customHeight="1" thickBot="1" x14ac:dyDescent="0.3">
      <c r="A102" s="202">
        <v>97</v>
      </c>
      <c r="B102" s="495" t="s">
        <v>856</v>
      </c>
      <c r="C102" s="496"/>
      <c r="D102" s="207">
        <f>SUM(D6:D101)</f>
        <v>0</v>
      </c>
      <c r="E102" s="207">
        <f t="shared" ref="E102:AF102" si="2">SUM(E6:E101)</f>
        <v>0</v>
      </c>
      <c r="F102" s="207">
        <f t="shared" si="2"/>
        <v>0</v>
      </c>
      <c r="G102" s="207">
        <f t="shared" si="2"/>
        <v>0</v>
      </c>
      <c r="H102" s="207">
        <f t="shared" si="2"/>
        <v>0</v>
      </c>
      <c r="I102" s="207">
        <f t="shared" si="2"/>
        <v>0</v>
      </c>
      <c r="J102" s="207">
        <f t="shared" si="2"/>
        <v>0</v>
      </c>
      <c r="K102" s="207">
        <f t="shared" si="2"/>
        <v>74671.902999999991</v>
      </c>
      <c r="L102" s="207">
        <f t="shared" si="2"/>
        <v>0</v>
      </c>
      <c r="M102" s="207">
        <f t="shared" si="2"/>
        <v>0</v>
      </c>
      <c r="N102" s="207">
        <f t="shared" si="2"/>
        <v>0</v>
      </c>
      <c r="O102" s="207">
        <f t="shared" si="2"/>
        <v>11913.603999999999</v>
      </c>
      <c r="P102" s="207">
        <f t="shared" si="2"/>
        <v>0</v>
      </c>
      <c r="Q102" s="207">
        <f t="shared" si="2"/>
        <v>0</v>
      </c>
      <c r="R102" s="207">
        <f t="shared" si="2"/>
        <v>0</v>
      </c>
      <c r="S102" s="207">
        <f t="shared" si="2"/>
        <v>9410.239333333333</v>
      </c>
      <c r="T102" s="207">
        <f t="shared" si="2"/>
        <v>0</v>
      </c>
      <c r="U102" s="207">
        <f t="shared" si="2"/>
        <v>0</v>
      </c>
      <c r="V102" s="207">
        <f t="shared" si="2"/>
        <v>0</v>
      </c>
      <c r="W102" s="207">
        <f t="shared" si="2"/>
        <v>0</v>
      </c>
      <c r="X102" s="207">
        <f t="shared" si="2"/>
        <v>0</v>
      </c>
      <c r="Y102" s="207">
        <f t="shared" si="2"/>
        <v>0</v>
      </c>
      <c r="Z102" s="207">
        <f t="shared" si="2"/>
        <v>0</v>
      </c>
      <c r="AA102" s="207">
        <f t="shared" si="2"/>
        <v>0</v>
      </c>
      <c r="AB102" s="207">
        <f t="shared" si="2"/>
        <v>0</v>
      </c>
      <c r="AC102" s="207">
        <f t="shared" si="2"/>
        <v>0</v>
      </c>
      <c r="AD102" s="207">
        <f t="shared" si="2"/>
        <v>0</v>
      </c>
      <c r="AE102" s="207">
        <f t="shared" si="2"/>
        <v>0</v>
      </c>
      <c r="AF102" s="207">
        <f t="shared" si="2"/>
        <v>95995.746333333358</v>
      </c>
    </row>
    <row r="106" spans="1:32" x14ac:dyDescent="0.25">
      <c r="W106">
        <f>102/2</f>
        <v>51</v>
      </c>
    </row>
    <row r="107" spans="1:32" x14ac:dyDescent="0.25">
      <c r="W107">
        <f>46</f>
        <v>46</v>
      </c>
    </row>
  </sheetData>
  <mergeCells count="12">
    <mergeCell ref="AB4:AE4"/>
    <mergeCell ref="B102:C102"/>
    <mergeCell ref="A3:A5"/>
    <mergeCell ref="D3:AE3"/>
    <mergeCell ref="D4:G4"/>
    <mergeCell ref="H4:K4"/>
    <mergeCell ref="L4:O4"/>
    <mergeCell ref="P4:S4"/>
    <mergeCell ref="T4:W4"/>
    <mergeCell ref="X4:AA4"/>
    <mergeCell ref="B3:B5"/>
    <mergeCell ref="C3:C5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359"/>
  <sheetViews>
    <sheetView topLeftCell="F1" workbookViewId="0">
      <selection activeCell="J94" sqref="J94:J135"/>
    </sheetView>
  </sheetViews>
  <sheetFormatPr defaultRowHeight="12" x14ac:dyDescent="0.2"/>
  <cols>
    <col min="1" max="1" width="6.42578125" style="208" customWidth="1"/>
    <col min="2" max="2" width="20.7109375" style="208" customWidth="1"/>
    <col min="3" max="3" width="18.5703125" style="208" customWidth="1"/>
    <col min="4" max="4" width="11.7109375" style="208" customWidth="1"/>
    <col min="5" max="5" width="14.42578125" style="208" customWidth="1"/>
    <col min="6" max="6" width="13.42578125" style="208" customWidth="1"/>
    <col min="7" max="7" width="12.7109375" style="208" customWidth="1"/>
    <col min="8" max="8" width="9.85546875" style="208" bestFit="1" customWidth="1"/>
    <col min="9" max="9" width="10.7109375" style="208" customWidth="1"/>
    <col min="10" max="10" width="11.5703125" style="208" customWidth="1"/>
    <col min="11" max="11" width="12.85546875" style="208" customWidth="1"/>
    <col min="12" max="12" width="14.42578125" style="208" customWidth="1"/>
    <col min="13" max="13" width="12.85546875" style="208" customWidth="1"/>
    <col min="14" max="14" width="11.5703125" style="208" bestFit="1" customWidth="1"/>
    <col min="15" max="15" width="9.28515625" style="208" customWidth="1"/>
    <col min="16" max="16" width="20.7109375" style="208" customWidth="1"/>
    <col min="17" max="17" width="12.28515625" style="208" customWidth="1"/>
    <col min="18" max="18" width="12.85546875" style="208" customWidth="1"/>
    <col min="19" max="19" width="14.42578125" style="208" customWidth="1"/>
    <col min="20" max="20" width="12.85546875" style="208" customWidth="1"/>
    <col min="21" max="21" width="11.140625" style="208" customWidth="1"/>
    <col min="22" max="22" width="9.28515625" style="208" hidden="1" customWidth="1"/>
    <col min="23" max="23" width="20.7109375" style="208" hidden="1" customWidth="1"/>
    <col min="24" max="24" width="11.5703125" style="208" hidden="1" customWidth="1"/>
    <col min="25" max="25" width="12.85546875" style="208" hidden="1" customWidth="1"/>
    <col min="26" max="26" width="14.42578125" style="208" hidden="1" customWidth="1"/>
    <col min="27" max="27" width="12.85546875" style="208" hidden="1" customWidth="1"/>
    <col min="28" max="28" width="11.140625" style="208" hidden="1" customWidth="1"/>
    <col min="29" max="29" width="9.28515625" style="208" hidden="1" customWidth="1"/>
    <col min="30" max="30" width="20.7109375" style="208" hidden="1" customWidth="1"/>
    <col min="31" max="31" width="11.5703125" style="208" hidden="1" customWidth="1"/>
    <col min="32" max="32" width="12.85546875" style="208" hidden="1" customWidth="1"/>
    <col min="33" max="33" width="14.42578125" style="208" hidden="1" customWidth="1"/>
    <col min="34" max="34" width="12.85546875" style="208" hidden="1" customWidth="1"/>
    <col min="35" max="35" width="11.140625" style="208" hidden="1" customWidth="1"/>
    <col min="36" max="36" width="9.140625" style="208"/>
    <col min="37" max="37" width="16.7109375" style="208" bestFit="1" customWidth="1"/>
    <col min="38" max="16384" width="9.140625" style="208"/>
  </cols>
  <sheetData>
    <row r="1" spans="1:38" x14ac:dyDescent="0.2">
      <c r="D1" s="208" t="s">
        <v>857</v>
      </c>
    </row>
    <row r="3" spans="1:38" s="209" customFormat="1" x14ac:dyDescent="0.2">
      <c r="B3" s="209" t="s">
        <v>858</v>
      </c>
      <c r="H3" s="209" t="s">
        <v>859</v>
      </c>
      <c r="P3" s="209" t="str">
        <f>H3</f>
        <v>Расчет процентов по займу. Тепловые сети котельной №1</v>
      </c>
    </row>
    <row r="4" spans="1:38" ht="18" customHeight="1" x14ac:dyDescent="0.2">
      <c r="A4" s="210" t="s">
        <v>860</v>
      </c>
      <c r="B4" s="211">
        <f>'[1]План меропр_1'!H55</f>
        <v>2025</v>
      </c>
      <c r="C4" s="208" t="s">
        <v>861</v>
      </c>
      <c r="D4" s="212"/>
      <c r="E4" s="213"/>
      <c r="F4" s="210"/>
      <c r="H4" s="210" t="s">
        <v>862</v>
      </c>
      <c r="I4" s="214">
        <f>'[1]План меропр_1'!H55</f>
        <v>2025</v>
      </c>
      <c r="J4" s="208" t="s">
        <v>479</v>
      </c>
      <c r="O4" s="210" t="s">
        <v>863</v>
      </c>
      <c r="P4" s="210">
        <f>'[1]План меропр_1'!H58</f>
        <v>2026</v>
      </c>
      <c r="Q4" s="208" t="str">
        <f>J4</f>
        <v>тепловые сети</v>
      </c>
      <c r="V4" s="210" t="str">
        <f>'[2]ИНВЕСТ '!B16</f>
        <v>5 этап (рекоснрукция оборудования БМК по истечении СПИ)</v>
      </c>
      <c r="X4" s="210"/>
      <c r="AC4" s="210" t="str">
        <f>'[2]ИНВЕСТ '!B17</f>
        <v>6 этап (рекоснрукция тепловых сетей и сетей гвс в связи с истечением СПИ)</v>
      </c>
      <c r="AE4" s="210"/>
      <c r="AK4" s="213">
        <f>C7+J7+Q7</f>
        <v>39722.396999999997</v>
      </c>
      <c r="AL4" s="208" t="b">
        <f>AK4='[3]Мероприятия упрощенно'!M8</f>
        <v>0</v>
      </c>
    </row>
    <row r="5" spans="1:38" x14ac:dyDescent="0.2">
      <c r="A5" s="210"/>
      <c r="E5" s="213"/>
      <c r="F5" s="210" t="s">
        <v>864</v>
      </c>
      <c r="H5" s="210"/>
      <c r="M5" s="210" t="str">
        <f>F5</f>
        <v>тыс. руб.</v>
      </c>
      <c r="P5" s="210"/>
      <c r="T5" s="210" t="str">
        <f>M5</f>
        <v>тыс. руб.</v>
      </c>
      <c r="X5" s="210"/>
      <c r="AE5" s="210"/>
      <c r="AK5" s="213"/>
    </row>
    <row r="6" spans="1:38" x14ac:dyDescent="0.2">
      <c r="A6" s="516" t="s">
        <v>865</v>
      </c>
      <c r="B6" s="517"/>
      <c r="C6" s="517"/>
      <c r="D6" s="517"/>
      <c r="E6" s="517"/>
      <c r="F6" s="518"/>
      <c r="G6" s="215" t="s">
        <v>866</v>
      </c>
      <c r="H6" s="516" t="s">
        <v>865</v>
      </c>
      <c r="I6" s="517"/>
      <c r="J6" s="517"/>
      <c r="K6" s="517"/>
      <c r="L6" s="517"/>
      <c r="M6" s="518"/>
      <c r="N6" s="215" t="str">
        <f>G6</f>
        <v xml:space="preserve">% </v>
      </c>
      <c r="O6" s="516" t="s">
        <v>865</v>
      </c>
      <c r="P6" s="517"/>
      <c r="Q6" s="517"/>
      <c r="R6" s="517"/>
      <c r="S6" s="517"/>
      <c r="T6" s="518"/>
      <c r="U6" s="215" t="str">
        <f>N6</f>
        <v xml:space="preserve">% </v>
      </c>
      <c r="V6" s="216"/>
      <c r="W6" s="216"/>
      <c r="X6" s="216"/>
      <c r="Y6" s="216"/>
      <c r="Z6" s="216"/>
      <c r="AA6" s="216"/>
      <c r="AB6" s="216" t="str">
        <f>U6</f>
        <v xml:space="preserve">% </v>
      </c>
      <c r="AC6" s="216"/>
      <c r="AD6" s="216"/>
      <c r="AE6" s="216"/>
      <c r="AF6" s="216"/>
      <c r="AG6" s="216"/>
      <c r="AH6" s="216"/>
      <c r="AI6" s="216" t="str">
        <f>AB6</f>
        <v xml:space="preserve">% </v>
      </c>
      <c r="AK6" s="217" t="s">
        <v>867</v>
      </c>
    </row>
    <row r="7" spans="1:38" ht="15" customHeight="1" x14ac:dyDescent="0.2">
      <c r="A7" s="516" t="s">
        <v>868</v>
      </c>
      <c r="B7" s="518"/>
      <c r="C7" s="218">
        <f>'№2 ИП ТС'!R31+'№2 ИП ТС'!R32+'№2 ИП ТС'!R33+'№2 ИП ТС'!R34+'№2 ИП ТС'!R35+'№2 ИП ТС'!R36</f>
        <v>29078.698999999997</v>
      </c>
      <c r="D7" s="219">
        <f>16%+4%</f>
        <v>0.2</v>
      </c>
      <c r="E7" s="220" t="s">
        <v>869</v>
      </c>
      <c r="F7" s="220"/>
      <c r="G7" s="220"/>
      <c r="H7" s="221"/>
      <c r="I7" s="216" t="s">
        <v>868</v>
      </c>
      <c r="J7" s="222">
        <f>'№2 ИП ТС'!R37</f>
        <v>385.62599999999998</v>
      </c>
      <c r="K7" s="219">
        <f>D7</f>
        <v>0.2</v>
      </c>
      <c r="L7" s="220" t="s">
        <v>869</v>
      </c>
      <c r="M7" s="220"/>
      <c r="N7" s="220"/>
      <c r="O7" s="221"/>
      <c r="P7" s="216" t="s">
        <v>868</v>
      </c>
      <c r="Q7" s="222">
        <f>'№2 ИП ТС'!R64+'№2 ИП ТС'!R65+'№2 ИП ТС'!R66+'№2 ИП ТС'!R67+'№2 ИП ТС'!R68+'№2 ИП ТС'!R69+'№2 ИП ТС'!R70+'№2 ИП ТС'!R71+'№2 ИП ТС'!R72+'№2 ИП ТС'!R73+'№2 ИП ТС'!R74+'№2 ИП ТС'!R75+'№2 ИП ТС'!R76+'№2 ИП ТС'!R77+'№2 ИП ТС'!R78+'№2 ИП ТС'!R79+'№2 ИП ТС'!R80+'№2 ИП ТС'!R81+'№2 ИП ТС'!R82+'№2 ИП ТС'!R83+'№2 ИП ТС'!R84+'№2 ИП ТС'!R85+'№2 ИП ТС'!R86</f>
        <v>10258.072</v>
      </c>
      <c r="R7" s="219">
        <f>K7</f>
        <v>0.2</v>
      </c>
      <c r="S7" s="220" t="s">
        <v>869</v>
      </c>
      <c r="T7" s="220"/>
      <c r="U7" s="220"/>
      <c r="V7" s="223"/>
      <c r="W7" s="224" t="s">
        <v>868</v>
      </c>
      <c r="X7" s="225">
        <f>'[2]ИНВЕСТ '!T11*1.2</f>
        <v>0</v>
      </c>
      <c r="Y7" s="226">
        <f>R7</f>
        <v>0.2</v>
      </c>
      <c r="Z7" s="227" t="s">
        <v>869</v>
      </c>
      <c r="AA7" s="227"/>
      <c r="AB7" s="227"/>
      <c r="AC7" s="223"/>
      <c r="AD7" s="224" t="s">
        <v>868</v>
      </c>
      <c r="AE7" s="225">
        <f>'[2]ИНВЕСТ '!W11*1.2</f>
        <v>0</v>
      </c>
      <c r="AF7" s="226">
        <f>Y7</f>
        <v>0.2</v>
      </c>
      <c r="AG7" s="227" t="s">
        <v>869</v>
      </c>
      <c r="AH7" s="227"/>
      <c r="AI7" s="227"/>
    </row>
    <row r="8" spans="1:38" ht="21" customHeight="1" x14ac:dyDescent="0.2">
      <c r="A8" s="516" t="s">
        <v>870</v>
      </c>
      <c r="B8" s="518"/>
      <c r="C8" s="228">
        <f>'№2 ИП ТС'!AN31</f>
        <v>11256.286</v>
      </c>
      <c r="D8" s="229">
        <f>12*10</f>
        <v>120</v>
      </c>
      <c r="E8" s="220" t="s">
        <v>871</v>
      </c>
      <c r="F8" s="220"/>
      <c r="G8" s="220"/>
      <c r="H8" s="230"/>
      <c r="I8" s="216" t="s">
        <v>872</v>
      </c>
      <c r="J8" s="231">
        <v>0</v>
      </c>
      <c r="K8" s="232">
        <f>D8</f>
        <v>120</v>
      </c>
      <c r="L8" s="220" t="s">
        <v>871</v>
      </c>
      <c r="M8" s="220"/>
      <c r="N8" s="220"/>
      <c r="O8" s="230"/>
      <c r="P8" s="216" t="s">
        <v>872</v>
      </c>
      <c r="Q8" s="231">
        <v>0</v>
      </c>
      <c r="R8" s="233">
        <v>120</v>
      </c>
      <c r="S8" s="220" t="s">
        <v>871</v>
      </c>
      <c r="T8" s="220"/>
      <c r="U8" s="220"/>
      <c r="V8" s="230"/>
      <c r="W8" s="216" t="s">
        <v>872</v>
      </c>
      <c r="X8" s="231">
        <v>0</v>
      </c>
      <c r="Y8" s="233">
        <v>120</v>
      </c>
      <c r="Z8" s="220" t="s">
        <v>871</v>
      </c>
      <c r="AA8" s="220"/>
      <c r="AB8" s="220"/>
      <c r="AC8" s="230"/>
      <c r="AD8" s="216" t="s">
        <v>872</v>
      </c>
      <c r="AE8" s="231">
        <v>0</v>
      </c>
      <c r="AF8" s="233">
        <v>120</v>
      </c>
      <c r="AG8" s="220" t="s">
        <v>871</v>
      </c>
      <c r="AH8" s="220"/>
      <c r="AI8" s="220"/>
    </row>
    <row r="9" spans="1:38" x14ac:dyDescent="0.2">
      <c r="A9" s="234" t="s">
        <v>873</v>
      </c>
      <c r="B9" s="220" t="s">
        <v>874</v>
      </c>
      <c r="C9" s="220" t="s">
        <v>875</v>
      </c>
      <c r="D9" s="220" t="s">
        <v>13</v>
      </c>
      <c r="E9" s="220" t="s">
        <v>876</v>
      </c>
      <c r="F9" s="220" t="s">
        <v>877</v>
      </c>
      <c r="G9" s="220"/>
      <c r="H9" s="234" t="s">
        <v>873</v>
      </c>
      <c r="I9" s="220" t="s">
        <v>874</v>
      </c>
      <c r="J9" s="220" t="s">
        <v>875</v>
      </c>
      <c r="K9" s="220" t="s">
        <v>13</v>
      </c>
      <c r="L9" s="220" t="s">
        <v>878</v>
      </c>
      <c r="M9" s="220" t="s">
        <v>877</v>
      </c>
      <c r="N9" s="220"/>
      <c r="O9" s="234" t="s">
        <v>873</v>
      </c>
      <c r="P9" s="220" t="s">
        <v>874</v>
      </c>
      <c r="Q9" s="220" t="s">
        <v>875</v>
      </c>
      <c r="R9" s="220" t="s">
        <v>13</v>
      </c>
      <c r="S9" s="220" t="s">
        <v>878</v>
      </c>
      <c r="T9" s="220" t="s">
        <v>877</v>
      </c>
      <c r="U9" s="220"/>
      <c r="V9" s="234" t="s">
        <v>873</v>
      </c>
      <c r="W9" s="220" t="s">
        <v>874</v>
      </c>
      <c r="X9" s="220" t="s">
        <v>875</v>
      </c>
      <c r="Y9" s="220" t="s">
        <v>13</v>
      </c>
      <c r="Z9" s="220" t="s">
        <v>878</v>
      </c>
      <c r="AA9" s="220" t="s">
        <v>877</v>
      </c>
      <c r="AB9" s="220"/>
      <c r="AC9" s="234" t="s">
        <v>873</v>
      </c>
      <c r="AD9" s="220" t="s">
        <v>874</v>
      </c>
      <c r="AE9" s="220" t="s">
        <v>875</v>
      </c>
      <c r="AF9" s="220" t="s">
        <v>13</v>
      </c>
      <c r="AG9" s="220" t="s">
        <v>878</v>
      </c>
      <c r="AH9" s="220" t="s">
        <v>877</v>
      </c>
      <c r="AI9" s="220"/>
      <c r="AK9" s="208">
        <f>G9+N9+U9</f>
        <v>0</v>
      </c>
    </row>
    <row r="10" spans="1:38" hidden="1" x14ac:dyDescent="0.2">
      <c r="A10" s="512">
        <v>2022</v>
      </c>
      <c r="B10" s="234" t="s">
        <v>225</v>
      </c>
      <c r="C10" s="235"/>
      <c r="D10" s="235"/>
      <c r="E10" s="235"/>
      <c r="F10" s="236">
        <f>D10+E10</f>
        <v>0</v>
      </c>
      <c r="G10" s="237"/>
      <c r="H10" s="513">
        <f>A10</f>
        <v>2022</v>
      </c>
      <c r="I10" s="234" t="s">
        <v>225</v>
      </c>
      <c r="J10" s="235"/>
      <c r="K10" s="235"/>
      <c r="L10" s="235"/>
      <c r="M10" s="236"/>
      <c r="N10" s="236"/>
      <c r="O10" s="512">
        <f>H10</f>
        <v>2022</v>
      </c>
      <c r="P10" s="234" t="s">
        <v>225</v>
      </c>
      <c r="Q10" s="235"/>
      <c r="R10" s="235"/>
      <c r="S10" s="235"/>
      <c r="T10" s="236"/>
      <c r="U10" s="236"/>
      <c r="V10" s="512">
        <v>2021</v>
      </c>
      <c r="W10" s="234" t="s">
        <v>225</v>
      </c>
      <c r="X10" s="235"/>
      <c r="Y10" s="235"/>
      <c r="Z10" s="235"/>
      <c r="AA10" s="236"/>
      <c r="AB10" s="236"/>
      <c r="AC10" s="512">
        <v>2021</v>
      </c>
      <c r="AD10" s="234" t="s">
        <v>225</v>
      </c>
      <c r="AE10" s="235"/>
      <c r="AF10" s="235"/>
      <c r="AG10" s="235"/>
      <c r="AH10" s="236"/>
      <c r="AI10" s="236"/>
    </row>
    <row r="11" spans="1:38" hidden="1" x14ac:dyDescent="0.2">
      <c r="A11" s="512"/>
      <c r="B11" s="234" t="s">
        <v>226</v>
      </c>
      <c r="C11" s="235"/>
      <c r="D11" s="235"/>
      <c r="E11" s="235"/>
      <c r="F11" s="236">
        <f>D11+E11</f>
        <v>0</v>
      </c>
      <c r="G11" s="238"/>
      <c r="H11" s="514"/>
      <c r="I11" s="234" t="s">
        <v>226</v>
      </c>
      <c r="J11" s="235"/>
      <c r="K11" s="235"/>
      <c r="L11" s="235"/>
      <c r="M11" s="236"/>
      <c r="N11" s="236"/>
      <c r="O11" s="512"/>
      <c r="P11" s="234" t="s">
        <v>226</v>
      </c>
      <c r="Q11" s="235"/>
      <c r="R11" s="235"/>
      <c r="S11" s="235"/>
      <c r="T11" s="236"/>
      <c r="U11" s="236"/>
      <c r="V11" s="512"/>
      <c r="W11" s="234" t="s">
        <v>226</v>
      </c>
      <c r="X11" s="235"/>
      <c r="Y11" s="235"/>
      <c r="Z11" s="235"/>
      <c r="AA11" s="236"/>
      <c r="AB11" s="236"/>
      <c r="AC11" s="512"/>
      <c r="AD11" s="234" t="s">
        <v>226</v>
      </c>
      <c r="AE11" s="235"/>
      <c r="AF11" s="235"/>
      <c r="AG11" s="235"/>
      <c r="AH11" s="236"/>
      <c r="AI11" s="236"/>
    </row>
    <row r="12" spans="1:38" hidden="1" x14ac:dyDescent="0.2">
      <c r="A12" s="512"/>
      <c r="B12" s="234" t="s">
        <v>227</v>
      </c>
      <c r="C12" s="235"/>
      <c r="D12" s="235"/>
      <c r="E12" s="235"/>
      <c r="F12" s="236">
        <f t="shared" ref="F12:F75" si="0">D12+E12</f>
        <v>0</v>
      </c>
      <c r="G12" s="238"/>
      <c r="H12" s="514"/>
      <c r="I12" s="234" t="s">
        <v>227</v>
      </c>
      <c r="J12" s="235"/>
      <c r="K12" s="235"/>
      <c r="L12" s="235"/>
      <c r="M12" s="236"/>
      <c r="N12" s="236"/>
      <c r="O12" s="512"/>
      <c r="P12" s="234" t="s">
        <v>227</v>
      </c>
      <c r="Q12" s="235"/>
      <c r="R12" s="235"/>
      <c r="S12" s="235"/>
      <c r="T12" s="236"/>
      <c r="U12" s="236"/>
      <c r="V12" s="512"/>
      <c r="W12" s="234" t="s">
        <v>227</v>
      </c>
      <c r="X12" s="235"/>
      <c r="Y12" s="235"/>
      <c r="Z12" s="235"/>
      <c r="AA12" s="236"/>
      <c r="AB12" s="236"/>
      <c r="AC12" s="512"/>
      <c r="AD12" s="234" t="s">
        <v>227</v>
      </c>
      <c r="AE12" s="235"/>
      <c r="AF12" s="235"/>
      <c r="AG12" s="235"/>
      <c r="AH12" s="236"/>
      <c r="AI12" s="236"/>
    </row>
    <row r="13" spans="1:38" hidden="1" x14ac:dyDescent="0.2">
      <c r="A13" s="512"/>
      <c r="B13" s="234" t="s">
        <v>228</v>
      </c>
      <c r="C13" s="235"/>
      <c r="D13" s="235"/>
      <c r="E13" s="235"/>
      <c r="F13" s="236">
        <f t="shared" si="0"/>
        <v>0</v>
      </c>
      <c r="G13" s="238"/>
      <c r="H13" s="514"/>
      <c r="I13" s="234" t="s">
        <v>228</v>
      </c>
      <c r="J13" s="235"/>
      <c r="K13" s="235"/>
      <c r="L13" s="235"/>
      <c r="M13" s="236"/>
      <c r="N13" s="236"/>
      <c r="O13" s="512"/>
      <c r="P13" s="234" t="s">
        <v>228</v>
      </c>
      <c r="Q13" s="235"/>
      <c r="R13" s="235"/>
      <c r="S13" s="235"/>
      <c r="T13" s="236"/>
      <c r="U13" s="236"/>
      <c r="V13" s="512"/>
      <c r="W13" s="234" t="s">
        <v>228</v>
      </c>
      <c r="X13" s="235"/>
      <c r="Y13" s="235"/>
      <c r="Z13" s="235"/>
      <c r="AA13" s="236"/>
      <c r="AB13" s="236"/>
      <c r="AC13" s="512"/>
      <c r="AD13" s="234" t="s">
        <v>228</v>
      </c>
      <c r="AE13" s="235"/>
      <c r="AF13" s="235"/>
      <c r="AG13" s="235"/>
      <c r="AH13" s="236"/>
      <c r="AI13" s="236"/>
    </row>
    <row r="14" spans="1:38" hidden="1" x14ac:dyDescent="0.2">
      <c r="A14" s="512"/>
      <c r="B14" s="234" t="s">
        <v>229</v>
      </c>
      <c r="C14" s="235"/>
      <c r="D14" s="235"/>
      <c r="E14" s="235"/>
      <c r="F14" s="236">
        <f t="shared" si="0"/>
        <v>0</v>
      </c>
      <c r="G14" s="238"/>
      <c r="H14" s="514"/>
      <c r="I14" s="234" t="s">
        <v>229</v>
      </c>
      <c r="J14" s="235"/>
      <c r="K14" s="235"/>
      <c r="L14" s="235"/>
      <c r="M14" s="236"/>
      <c r="N14" s="236"/>
      <c r="O14" s="512"/>
      <c r="P14" s="234" t="s">
        <v>229</v>
      </c>
      <c r="Q14" s="235"/>
      <c r="R14" s="235"/>
      <c r="S14" s="235"/>
      <c r="T14" s="236"/>
      <c r="U14" s="236"/>
      <c r="V14" s="512"/>
      <c r="W14" s="234" t="s">
        <v>229</v>
      </c>
      <c r="X14" s="235"/>
      <c r="Y14" s="235"/>
      <c r="Z14" s="235"/>
      <c r="AA14" s="236"/>
      <c r="AB14" s="236"/>
      <c r="AC14" s="512"/>
      <c r="AD14" s="234" t="s">
        <v>229</v>
      </c>
      <c r="AE14" s="235"/>
      <c r="AF14" s="235"/>
      <c r="AG14" s="235"/>
      <c r="AH14" s="236"/>
      <c r="AI14" s="236"/>
    </row>
    <row r="15" spans="1:38" hidden="1" x14ac:dyDescent="0.2">
      <c r="A15" s="512"/>
      <c r="B15" s="234" t="s">
        <v>230</v>
      </c>
      <c r="C15" s="235"/>
      <c r="D15" s="235"/>
      <c r="E15" s="235"/>
      <c r="F15" s="236">
        <f t="shared" si="0"/>
        <v>0</v>
      </c>
      <c r="G15" s="238"/>
      <c r="H15" s="514"/>
      <c r="I15" s="234" t="s">
        <v>230</v>
      </c>
      <c r="J15" s="235"/>
      <c r="K15" s="235"/>
      <c r="L15" s="235"/>
      <c r="M15" s="236"/>
      <c r="N15" s="236"/>
      <c r="O15" s="512"/>
      <c r="P15" s="234" t="s">
        <v>230</v>
      </c>
      <c r="Q15" s="235"/>
      <c r="R15" s="235"/>
      <c r="S15" s="235"/>
      <c r="T15" s="236"/>
      <c r="U15" s="236"/>
      <c r="V15" s="512"/>
      <c r="W15" s="234" t="s">
        <v>230</v>
      </c>
      <c r="X15" s="235"/>
      <c r="Y15" s="235"/>
      <c r="Z15" s="235"/>
      <c r="AA15" s="236"/>
      <c r="AB15" s="236"/>
      <c r="AC15" s="512"/>
      <c r="AD15" s="234" t="s">
        <v>230</v>
      </c>
      <c r="AE15" s="235"/>
      <c r="AF15" s="235"/>
      <c r="AG15" s="235"/>
      <c r="AH15" s="236"/>
      <c r="AI15" s="236"/>
    </row>
    <row r="16" spans="1:38" hidden="1" x14ac:dyDescent="0.2">
      <c r="A16" s="512"/>
      <c r="B16" s="234" t="s">
        <v>231</v>
      </c>
      <c r="C16" s="235"/>
      <c r="D16" s="235"/>
      <c r="E16" s="235"/>
      <c r="F16" s="236">
        <f t="shared" si="0"/>
        <v>0</v>
      </c>
      <c r="G16" s="238"/>
      <c r="H16" s="514"/>
      <c r="I16" s="234" t="s">
        <v>231</v>
      </c>
      <c r="J16" s="235"/>
      <c r="K16" s="235"/>
      <c r="L16" s="235"/>
      <c r="M16" s="236"/>
      <c r="N16" s="236"/>
      <c r="O16" s="512"/>
      <c r="P16" s="234" t="s">
        <v>231</v>
      </c>
      <c r="Q16" s="235"/>
      <c r="R16" s="235"/>
      <c r="S16" s="235"/>
      <c r="T16" s="236"/>
      <c r="U16" s="236"/>
      <c r="V16" s="512"/>
      <c r="W16" s="234" t="s">
        <v>231</v>
      </c>
      <c r="X16" s="235"/>
      <c r="Y16" s="235"/>
      <c r="Z16" s="235"/>
      <c r="AA16" s="236"/>
      <c r="AB16" s="236"/>
      <c r="AC16" s="512"/>
      <c r="AD16" s="234" t="s">
        <v>231</v>
      </c>
      <c r="AE16" s="235"/>
      <c r="AF16" s="235"/>
      <c r="AG16" s="235"/>
      <c r="AH16" s="236"/>
      <c r="AI16" s="236"/>
    </row>
    <row r="17" spans="1:37" x14ac:dyDescent="0.2">
      <c r="A17" s="512"/>
      <c r="B17" s="234" t="s">
        <v>232</v>
      </c>
      <c r="C17" s="235"/>
      <c r="D17" s="235"/>
      <c r="E17" s="235"/>
      <c r="F17" s="236">
        <f t="shared" si="0"/>
        <v>0</v>
      </c>
      <c r="G17" s="238"/>
      <c r="H17" s="514"/>
      <c r="I17" s="234" t="s">
        <v>232</v>
      </c>
      <c r="J17" s="235"/>
      <c r="K17" s="235"/>
      <c r="L17" s="235"/>
      <c r="M17" s="236"/>
      <c r="N17" s="236"/>
      <c r="O17" s="512"/>
      <c r="P17" s="234" t="s">
        <v>232</v>
      </c>
      <c r="Q17" s="235"/>
      <c r="R17" s="235"/>
      <c r="S17" s="235"/>
      <c r="T17" s="236"/>
      <c r="U17" s="236"/>
      <c r="V17" s="512"/>
      <c r="W17" s="234" t="s">
        <v>232</v>
      </c>
      <c r="X17" s="235"/>
      <c r="Y17" s="235"/>
      <c r="Z17" s="235"/>
      <c r="AA17" s="236"/>
      <c r="AB17" s="236"/>
      <c r="AC17" s="512"/>
      <c r="AD17" s="234" t="s">
        <v>232</v>
      </c>
      <c r="AE17" s="235"/>
      <c r="AF17" s="235"/>
      <c r="AG17" s="235"/>
      <c r="AH17" s="236"/>
      <c r="AI17" s="236"/>
    </row>
    <row r="18" spans="1:37" x14ac:dyDescent="0.2">
      <c r="A18" s="512"/>
      <c r="B18" s="234" t="s">
        <v>233</v>
      </c>
      <c r="C18" s="235"/>
      <c r="D18" s="235"/>
      <c r="E18" s="235"/>
      <c r="F18" s="236">
        <f t="shared" si="0"/>
        <v>0</v>
      </c>
      <c r="G18" s="238"/>
      <c r="H18" s="514"/>
      <c r="I18" s="234" t="s">
        <v>233</v>
      </c>
      <c r="J18" s="235"/>
      <c r="K18" s="235"/>
      <c r="L18" s="235"/>
      <c r="M18" s="236"/>
      <c r="N18" s="236"/>
      <c r="O18" s="512"/>
      <c r="P18" s="234" t="s">
        <v>233</v>
      </c>
      <c r="Q18" s="235"/>
      <c r="R18" s="235"/>
      <c r="S18" s="235"/>
      <c r="T18" s="236"/>
      <c r="U18" s="236"/>
      <c r="V18" s="512"/>
      <c r="W18" s="234" t="s">
        <v>233</v>
      </c>
      <c r="X18" s="235"/>
      <c r="Y18" s="235"/>
      <c r="Z18" s="235"/>
      <c r="AA18" s="236"/>
      <c r="AB18" s="236"/>
      <c r="AC18" s="512"/>
      <c r="AD18" s="234" t="s">
        <v>233</v>
      </c>
      <c r="AE18" s="235"/>
      <c r="AF18" s="235"/>
      <c r="AG18" s="235"/>
      <c r="AH18" s="236"/>
      <c r="AI18" s="236"/>
    </row>
    <row r="19" spans="1:37" x14ac:dyDescent="0.2">
      <c r="A19" s="512"/>
      <c r="B19" s="234" t="s">
        <v>234</v>
      </c>
      <c r="C19" s="235"/>
      <c r="D19" s="235"/>
      <c r="E19" s="235"/>
      <c r="F19" s="236">
        <f t="shared" si="0"/>
        <v>0</v>
      </c>
      <c r="G19" s="238"/>
      <c r="H19" s="514"/>
      <c r="I19" s="234" t="s">
        <v>234</v>
      </c>
      <c r="J19" s="235"/>
      <c r="K19" s="235"/>
      <c r="L19" s="235"/>
      <c r="M19" s="236"/>
      <c r="N19" s="236"/>
      <c r="O19" s="512"/>
      <c r="P19" s="234" t="s">
        <v>234</v>
      </c>
      <c r="Q19" s="235"/>
      <c r="R19" s="235"/>
      <c r="S19" s="235"/>
      <c r="T19" s="236"/>
      <c r="U19" s="236"/>
      <c r="V19" s="512"/>
      <c r="W19" s="234" t="s">
        <v>234</v>
      </c>
      <c r="X19" s="235"/>
      <c r="Y19" s="235"/>
      <c r="Z19" s="235"/>
      <c r="AA19" s="236"/>
      <c r="AB19" s="236"/>
      <c r="AC19" s="512"/>
      <c r="AD19" s="234" t="s">
        <v>234</v>
      </c>
      <c r="AE19" s="235"/>
      <c r="AF19" s="235"/>
      <c r="AG19" s="235"/>
      <c r="AH19" s="236"/>
      <c r="AI19" s="236"/>
    </row>
    <row r="20" spans="1:37" x14ac:dyDescent="0.2">
      <c r="A20" s="512"/>
      <c r="B20" s="234" t="s">
        <v>235</v>
      </c>
      <c r="C20" s="235"/>
      <c r="D20" s="235"/>
      <c r="E20" s="235"/>
      <c r="F20" s="236">
        <f t="shared" si="0"/>
        <v>0</v>
      </c>
      <c r="G20" s="238"/>
      <c r="H20" s="514"/>
      <c r="I20" s="234" t="s">
        <v>235</v>
      </c>
      <c r="J20" s="235"/>
      <c r="K20" s="235"/>
      <c r="L20" s="235"/>
      <c r="M20" s="236"/>
      <c r="N20" s="236"/>
      <c r="O20" s="512"/>
      <c r="P20" s="234" t="s">
        <v>235</v>
      </c>
      <c r="Q20" s="235"/>
      <c r="R20" s="235"/>
      <c r="S20" s="235"/>
      <c r="T20" s="236"/>
      <c r="U20" s="236"/>
      <c r="V20" s="512"/>
      <c r="W20" s="234" t="s">
        <v>235</v>
      </c>
      <c r="X20" s="235"/>
      <c r="Y20" s="235"/>
      <c r="Z20" s="235"/>
      <c r="AA20" s="236"/>
      <c r="AB20" s="236"/>
      <c r="AC20" s="512"/>
      <c r="AD20" s="234" t="s">
        <v>235</v>
      </c>
      <c r="AE20" s="235"/>
      <c r="AF20" s="235"/>
      <c r="AG20" s="235"/>
      <c r="AH20" s="236"/>
      <c r="AI20" s="236"/>
    </row>
    <row r="21" spans="1:37" x14ac:dyDescent="0.2">
      <c r="A21" s="512"/>
      <c r="B21" s="234" t="s">
        <v>236</v>
      </c>
      <c r="C21" s="235"/>
      <c r="D21" s="235"/>
      <c r="E21" s="235"/>
      <c r="F21" s="236">
        <f t="shared" si="0"/>
        <v>0</v>
      </c>
      <c r="G21" s="239">
        <f>SUM(D10:D21)</f>
        <v>0</v>
      </c>
      <c r="H21" s="515"/>
      <c r="I21" s="234" t="s">
        <v>236</v>
      </c>
      <c r="J21" s="235"/>
      <c r="K21" s="235"/>
      <c r="L21" s="235"/>
      <c r="M21" s="236"/>
      <c r="N21" s="236"/>
      <c r="O21" s="512"/>
      <c r="P21" s="234" t="s">
        <v>236</v>
      </c>
      <c r="Q21" s="235"/>
      <c r="R21" s="235"/>
      <c r="S21" s="235"/>
      <c r="T21" s="236"/>
      <c r="U21" s="236"/>
      <c r="V21" s="512"/>
      <c r="W21" s="234" t="s">
        <v>236</v>
      </c>
      <c r="X21" s="235"/>
      <c r="Y21" s="235"/>
      <c r="Z21" s="235"/>
      <c r="AA21" s="236"/>
      <c r="AB21" s="236"/>
      <c r="AC21" s="512"/>
      <c r="AD21" s="234" t="s">
        <v>236</v>
      </c>
      <c r="AE21" s="235"/>
      <c r="AF21" s="235"/>
      <c r="AG21" s="235"/>
      <c r="AH21" s="236"/>
      <c r="AI21" s="236"/>
      <c r="AJ21" s="208">
        <f>A10</f>
        <v>2022</v>
      </c>
      <c r="AK21" s="240">
        <f>G21+N21+U21</f>
        <v>0</v>
      </c>
    </row>
    <row r="22" spans="1:37" x14ac:dyDescent="0.2">
      <c r="A22" s="512">
        <v>2023</v>
      </c>
      <c r="B22" s="234" t="s">
        <v>225</v>
      </c>
      <c r="C22" s="235"/>
      <c r="D22" s="235"/>
      <c r="E22" s="235"/>
      <c r="F22" s="236">
        <f t="shared" si="0"/>
        <v>0</v>
      </c>
      <c r="G22" s="237"/>
      <c r="H22" s="513">
        <f>H10+1</f>
        <v>2023</v>
      </c>
      <c r="I22" s="234" t="s">
        <v>225</v>
      </c>
      <c r="J22" s="235"/>
      <c r="K22" s="235"/>
      <c r="L22" s="235"/>
      <c r="M22" s="236">
        <f>K22+L22</f>
        <v>0</v>
      </c>
      <c r="N22" s="236"/>
      <c r="O22" s="512">
        <f>O10+1</f>
        <v>2023</v>
      </c>
      <c r="P22" s="234" t="s">
        <v>225</v>
      </c>
      <c r="Q22" s="235"/>
      <c r="R22" s="235"/>
      <c r="S22" s="235"/>
      <c r="T22" s="236"/>
      <c r="U22" s="236"/>
      <c r="V22" s="512">
        <f>V10+1</f>
        <v>2022</v>
      </c>
      <c r="W22" s="234" t="s">
        <v>225</v>
      </c>
      <c r="X22" s="235"/>
      <c r="Y22" s="235"/>
      <c r="Z22" s="235"/>
      <c r="AA22" s="236"/>
      <c r="AB22" s="236"/>
      <c r="AC22" s="512">
        <f>AC10+1</f>
        <v>2022</v>
      </c>
      <c r="AD22" s="234" t="s">
        <v>225</v>
      </c>
      <c r="AE22" s="235"/>
      <c r="AF22" s="235"/>
      <c r="AG22" s="235"/>
      <c r="AH22" s="236"/>
      <c r="AI22" s="236"/>
      <c r="AK22" s="240"/>
    </row>
    <row r="23" spans="1:37" x14ac:dyDescent="0.2">
      <c r="A23" s="512"/>
      <c r="B23" s="234" t="s">
        <v>226</v>
      </c>
      <c r="C23" s="235"/>
      <c r="D23" s="235"/>
      <c r="E23" s="235"/>
      <c r="F23" s="236">
        <f t="shared" si="0"/>
        <v>0</v>
      </c>
      <c r="G23" s="238"/>
      <c r="H23" s="514"/>
      <c r="I23" s="234" t="s">
        <v>226</v>
      </c>
      <c r="J23" s="235"/>
      <c r="K23" s="235"/>
      <c r="L23" s="235"/>
      <c r="M23" s="236">
        <f t="shared" ref="M23:M86" si="1">K23+L23</f>
        <v>0</v>
      </c>
      <c r="N23" s="236"/>
      <c r="O23" s="512"/>
      <c r="P23" s="234" t="s">
        <v>226</v>
      </c>
      <c r="Q23" s="235"/>
      <c r="R23" s="235"/>
      <c r="S23" s="235"/>
      <c r="T23" s="236"/>
      <c r="U23" s="236"/>
      <c r="V23" s="512"/>
      <c r="W23" s="234" t="s">
        <v>226</v>
      </c>
      <c r="X23" s="235"/>
      <c r="Y23" s="235"/>
      <c r="Z23" s="235"/>
      <c r="AA23" s="236"/>
      <c r="AB23" s="236"/>
      <c r="AC23" s="512"/>
      <c r="AD23" s="234" t="s">
        <v>226</v>
      </c>
      <c r="AE23" s="235"/>
      <c r="AF23" s="235"/>
      <c r="AG23" s="235"/>
      <c r="AH23" s="236"/>
      <c r="AI23" s="236"/>
      <c r="AK23" s="240"/>
    </row>
    <row r="24" spans="1:37" x14ac:dyDescent="0.2">
      <c r="A24" s="512"/>
      <c r="B24" s="234" t="s">
        <v>227</v>
      </c>
      <c r="C24" s="235"/>
      <c r="D24" s="235"/>
      <c r="E24" s="235"/>
      <c r="F24" s="236">
        <f t="shared" si="0"/>
        <v>0</v>
      </c>
      <c r="G24" s="238"/>
      <c r="H24" s="514"/>
      <c r="I24" s="234" t="s">
        <v>227</v>
      </c>
      <c r="J24" s="235"/>
      <c r="K24" s="235"/>
      <c r="L24" s="235"/>
      <c r="M24" s="236">
        <f t="shared" si="1"/>
        <v>0</v>
      </c>
      <c r="N24" s="236"/>
      <c r="O24" s="512"/>
      <c r="P24" s="234" t="s">
        <v>227</v>
      </c>
      <c r="Q24" s="235"/>
      <c r="R24" s="235"/>
      <c r="S24" s="235"/>
      <c r="T24" s="236"/>
      <c r="U24" s="236"/>
      <c r="V24" s="512"/>
      <c r="W24" s="234" t="s">
        <v>227</v>
      </c>
      <c r="X24" s="235"/>
      <c r="Y24" s="235"/>
      <c r="Z24" s="235"/>
      <c r="AA24" s="236"/>
      <c r="AB24" s="236"/>
      <c r="AC24" s="512"/>
      <c r="AD24" s="234" t="s">
        <v>227</v>
      </c>
      <c r="AE24" s="235"/>
      <c r="AF24" s="235"/>
      <c r="AG24" s="235"/>
      <c r="AH24" s="236"/>
      <c r="AI24" s="236"/>
      <c r="AK24" s="240"/>
    </row>
    <row r="25" spans="1:37" x14ac:dyDescent="0.2">
      <c r="A25" s="512"/>
      <c r="B25" s="234" t="s">
        <v>228</v>
      </c>
      <c r="C25" s="235"/>
      <c r="D25" s="235"/>
      <c r="E25" s="235"/>
      <c r="F25" s="236">
        <f t="shared" si="0"/>
        <v>0</v>
      </c>
      <c r="G25" s="238"/>
      <c r="H25" s="514"/>
      <c r="I25" s="234" t="s">
        <v>228</v>
      </c>
      <c r="J25" s="235"/>
      <c r="K25" s="235"/>
      <c r="L25" s="235"/>
      <c r="M25" s="236">
        <f t="shared" si="1"/>
        <v>0</v>
      </c>
      <c r="N25" s="236"/>
      <c r="O25" s="512"/>
      <c r="P25" s="234" t="s">
        <v>228</v>
      </c>
      <c r="Q25" s="235"/>
      <c r="R25" s="235"/>
      <c r="S25" s="235"/>
      <c r="T25" s="236"/>
      <c r="U25" s="236"/>
      <c r="V25" s="512"/>
      <c r="W25" s="234" t="s">
        <v>228</v>
      </c>
      <c r="X25" s="235"/>
      <c r="Y25" s="235"/>
      <c r="Z25" s="235"/>
      <c r="AA25" s="236"/>
      <c r="AB25" s="236"/>
      <c r="AC25" s="512"/>
      <c r="AD25" s="234" t="s">
        <v>228</v>
      </c>
      <c r="AE25" s="235"/>
      <c r="AF25" s="235"/>
      <c r="AG25" s="235"/>
      <c r="AH25" s="236"/>
      <c r="AI25" s="236"/>
      <c r="AK25" s="240"/>
    </row>
    <row r="26" spans="1:37" x14ac:dyDescent="0.2">
      <c r="A26" s="512"/>
      <c r="B26" s="234" t="s">
        <v>229</v>
      </c>
      <c r="C26" s="235"/>
      <c r="D26" s="235"/>
      <c r="E26" s="235"/>
      <c r="F26" s="236">
        <f t="shared" si="0"/>
        <v>0</v>
      </c>
      <c r="G26" s="238"/>
      <c r="H26" s="514"/>
      <c r="I26" s="234" t="s">
        <v>229</v>
      </c>
      <c r="J26" s="235"/>
      <c r="K26" s="235"/>
      <c r="L26" s="235"/>
      <c r="M26" s="236">
        <f t="shared" si="1"/>
        <v>0</v>
      </c>
      <c r="N26" s="236"/>
      <c r="O26" s="512"/>
      <c r="P26" s="234" t="s">
        <v>229</v>
      </c>
      <c r="Q26" s="235"/>
      <c r="R26" s="235"/>
      <c r="S26" s="235"/>
      <c r="T26" s="236"/>
      <c r="U26" s="236"/>
      <c r="V26" s="512"/>
      <c r="W26" s="234" t="s">
        <v>229</v>
      </c>
      <c r="X26" s="235"/>
      <c r="Y26" s="235"/>
      <c r="Z26" s="235"/>
      <c r="AA26" s="236"/>
      <c r="AB26" s="236"/>
      <c r="AC26" s="512"/>
      <c r="AD26" s="234" t="s">
        <v>229</v>
      </c>
      <c r="AE26" s="235"/>
      <c r="AF26" s="235"/>
      <c r="AG26" s="235"/>
      <c r="AH26" s="236"/>
      <c r="AI26" s="236"/>
      <c r="AK26" s="240"/>
    </row>
    <row r="27" spans="1:37" x14ac:dyDescent="0.2">
      <c r="A27" s="512"/>
      <c r="B27" s="234" t="s">
        <v>230</v>
      </c>
      <c r="C27" s="235"/>
      <c r="D27" s="235"/>
      <c r="E27" s="235"/>
      <c r="F27" s="236">
        <f t="shared" si="0"/>
        <v>0</v>
      </c>
      <c r="G27" s="238"/>
      <c r="H27" s="514"/>
      <c r="I27" s="234" t="s">
        <v>230</v>
      </c>
      <c r="J27" s="235"/>
      <c r="K27" s="235"/>
      <c r="L27" s="235"/>
      <c r="M27" s="236">
        <f t="shared" si="1"/>
        <v>0</v>
      </c>
      <c r="N27" s="236"/>
      <c r="O27" s="512"/>
      <c r="P27" s="234" t="s">
        <v>230</v>
      </c>
      <c r="Q27" s="235"/>
      <c r="R27" s="235"/>
      <c r="S27" s="235"/>
      <c r="T27" s="236"/>
      <c r="U27" s="236"/>
      <c r="V27" s="512"/>
      <c r="W27" s="234" t="s">
        <v>230</v>
      </c>
      <c r="X27" s="235"/>
      <c r="Y27" s="235"/>
      <c r="Z27" s="235"/>
      <c r="AA27" s="236"/>
      <c r="AB27" s="236"/>
      <c r="AC27" s="512"/>
      <c r="AD27" s="234" t="s">
        <v>230</v>
      </c>
      <c r="AE27" s="235"/>
      <c r="AF27" s="235"/>
      <c r="AG27" s="235"/>
      <c r="AH27" s="236"/>
      <c r="AI27" s="236"/>
      <c r="AK27" s="240"/>
    </row>
    <row r="28" spans="1:37" x14ac:dyDescent="0.2">
      <c r="A28" s="512"/>
      <c r="B28" s="234" t="s">
        <v>231</v>
      </c>
      <c r="C28" s="235"/>
      <c r="D28" s="235"/>
      <c r="E28" s="235"/>
      <c r="F28" s="236">
        <f t="shared" si="0"/>
        <v>0</v>
      </c>
      <c r="G28" s="238"/>
      <c r="H28" s="514"/>
      <c r="I28" s="234" t="s">
        <v>231</v>
      </c>
      <c r="J28" s="235"/>
      <c r="K28" s="235"/>
      <c r="L28" s="235"/>
      <c r="M28" s="236">
        <f t="shared" si="1"/>
        <v>0</v>
      </c>
      <c r="N28" s="236"/>
      <c r="O28" s="512"/>
      <c r="P28" s="234" t="s">
        <v>231</v>
      </c>
      <c r="Q28" s="235"/>
      <c r="R28" s="235"/>
      <c r="S28" s="235"/>
      <c r="T28" s="236"/>
      <c r="U28" s="236"/>
      <c r="V28" s="512"/>
      <c r="W28" s="234" t="s">
        <v>231</v>
      </c>
      <c r="X28" s="235"/>
      <c r="Y28" s="235"/>
      <c r="Z28" s="235"/>
      <c r="AA28" s="236"/>
      <c r="AB28" s="236"/>
      <c r="AC28" s="512"/>
      <c r="AD28" s="234" t="s">
        <v>231</v>
      </c>
      <c r="AE28" s="235"/>
      <c r="AF28" s="235"/>
      <c r="AG28" s="235"/>
      <c r="AH28" s="236"/>
      <c r="AI28" s="236"/>
      <c r="AK28" s="240"/>
    </row>
    <row r="29" spans="1:37" x14ac:dyDescent="0.2">
      <c r="A29" s="512"/>
      <c r="B29" s="234" t="s">
        <v>232</v>
      </c>
      <c r="C29" s="235"/>
      <c r="D29" s="235"/>
      <c r="E29" s="235"/>
      <c r="F29" s="236">
        <f t="shared" si="0"/>
        <v>0</v>
      </c>
      <c r="G29" s="238"/>
      <c r="H29" s="514"/>
      <c r="I29" s="234" t="s">
        <v>232</v>
      </c>
      <c r="J29" s="235"/>
      <c r="K29" s="235"/>
      <c r="L29" s="235"/>
      <c r="M29" s="236">
        <f t="shared" si="1"/>
        <v>0</v>
      </c>
      <c r="N29" s="236"/>
      <c r="O29" s="512"/>
      <c r="P29" s="234" t="s">
        <v>232</v>
      </c>
      <c r="Q29" s="235"/>
      <c r="R29" s="235"/>
      <c r="S29" s="235"/>
      <c r="T29" s="236"/>
      <c r="U29" s="236"/>
      <c r="V29" s="512"/>
      <c r="W29" s="234" t="s">
        <v>232</v>
      </c>
      <c r="X29" s="235"/>
      <c r="Y29" s="235"/>
      <c r="Z29" s="235"/>
      <c r="AA29" s="236"/>
      <c r="AB29" s="236"/>
      <c r="AC29" s="512"/>
      <c r="AD29" s="234" t="s">
        <v>232</v>
      </c>
      <c r="AE29" s="235"/>
      <c r="AF29" s="235"/>
      <c r="AG29" s="235"/>
      <c r="AH29" s="236"/>
      <c r="AI29" s="236"/>
      <c r="AK29" s="240"/>
    </row>
    <row r="30" spans="1:37" x14ac:dyDescent="0.2">
      <c r="A30" s="512"/>
      <c r="B30" s="234" t="s">
        <v>233</v>
      </c>
      <c r="C30" s="235"/>
      <c r="D30" s="235"/>
      <c r="E30" s="235"/>
      <c r="F30" s="236">
        <f t="shared" si="0"/>
        <v>0</v>
      </c>
      <c r="G30" s="238"/>
      <c r="H30" s="514"/>
      <c r="I30" s="234" t="s">
        <v>233</v>
      </c>
      <c r="J30" s="235"/>
      <c r="K30" s="235"/>
      <c r="L30" s="235"/>
      <c r="M30" s="236">
        <f t="shared" si="1"/>
        <v>0</v>
      </c>
      <c r="N30" s="236"/>
      <c r="O30" s="512"/>
      <c r="P30" s="234" t="s">
        <v>233</v>
      </c>
      <c r="Q30" s="235"/>
      <c r="R30" s="235"/>
      <c r="S30" s="235"/>
      <c r="T30" s="236"/>
      <c r="U30" s="236"/>
      <c r="V30" s="512"/>
      <c r="W30" s="234" t="s">
        <v>233</v>
      </c>
      <c r="X30" s="235"/>
      <c r="Y30" s="235"/>
      <c r="Z30" s="235"/>
      <c r="AA30" s="236"/>
      <c r="AB30" s="236"/>
      <c r="AC30" s="512"/>
      <c r="AD30" s="234" t="s">
        <v>233</v>
      </c>
      <c r="AE30" s="235"/>
      <c r="AF30" s="235"/>
      <c r="AG30" s="235"/>
      <c r="AH30" s="236"/>
      <c r="AI30" s="236"/>
      <c r="AK30" s="240"/>
    </row>
    <row r="31" spans="1:37" x14ac:dyDescent="0.2">
      <c r="A31" s="512"/>
      <c r="B31" s="234" t="s">
        <v>234</v>
      </c>
      <c r="C31" s="235"/>
      <c r="D31" s="235"/>
      <c r="E31" s="235"/>
      <c r="F31" s="236">
        <f t="shared" si="0"/>
        <v>0</v>
      </c>
      <c r="G31" s="238"/>
      <c r="H31" s="514"/>
      <c r="I31" s="234" t="s">
        <v>234</v>
      </c>
      <c r="J31" s="235"/>
      <c r="K31" s="235"/>
      <c r="L31" s="235"/>
      <c r="M31" s="236">
        <f t="shared" si="1"/>
        <v>0</v>
      </c>
      <c r="N31" s="236"/>
      <c r="O31" s="512"/>
      <c r="P31" s="234" t="s">
        <v>234</v>
      </c>
      <c r="Q31" s="235"/>
      <c r="R31" s="235"/>
      <c r="S31" s="235"/>
      <c r="T31" s="236"/>
      <c r="U31" s="236"/>
      <c r="V31" s="512"/>
      <c r="W31" s="234" t="s">
        <v>234</v>
      </c>
      <c r="X31" s="235"/>
      <c r="Y31" s="235"/>
      <c r="Z31" s="235"/>
      <c r="AA31" s="236"/>
      <c r="AB31" s="236"/>
      <c r="AC31" s="512"/>
      <c r="AD31" s="234" t="s">
        <v>234</v>
      </c>
      <c r="AE31" s="235"/>
      <c r="AF31" s="235"/>
      <c r="AG31" s="235"/>
      <c r="AH31" s="236"/>
      <c r="AI31" s="236"/>
      <c r="AK31" s="240"/>
    </row>
    <row r="32" spans="1:37" x14ac:dyDescent="0.2">
      <c r="A32" s="512"/>
      <c r="B32" s="234" t="s">
        <v>235</v>
      </c>
      <c r="C32" s="235"/>
      <c r="D32" s="235"/>
      <c r="E32" s="235"/>
      <c r="F32" s="236">
        <f t="shared" si="0"/>
        <v>0</v>
      </c>
      <c r="G32" s="238"/>
      <c r="H32" s="514"/>
      <c r="I32" s="234" t="s">
        <v>235</v>
      </c>
      <c r="J32" s="235"/>
      <c r="K32" s="235"/>
      <c r="L32" s="235"/>
      <c r="M32" s="236">
        <f t="shared" si="1"/>
        <v>0</v>
      </c>
      <c r="N32" s="236"/>
      <c r="O32" s="512"/>
      <c r="P32" s="234" t="s">
        <v>235</v>
      </c>
      <c r="Q32" s="235"/>
      <c r="R32" s="235"/>
      <c r="S32" s="235"/>
      <c r="T32" s="236"/>
      <c r="U32" s="236"/>
      <c r="V32" s="512"/>
      <c r="W32" s="234" t="s">
        <v>235</v>
      </c>
      <c r="X32" s="235"/>
      <c r="Y32" s="235"/>
      <c r="Z32" s="235"/>
      <c r="AA32" s="236"/>
      <c r="AB32" s="236"/>
      <c r="AC32" s="512"/>
      <c r="AD32" s="234" t="s">
        <v>235</v>
      </c>
      <c r="AE32" s="235"/>
      <c r="AF32" s="235"/>
      <c r="AG32" s="235"/>
      <c r="AH32" s="236"/>
      <c r="AI32" s="236"/>
      <c r="AK32" s="240"/>
    </row>
    <row r="33" spans="1:37" x14ac:dyDescent="0.2">
      <c r="A33" s="512"/>
      <c r="B33" s="234" t="s">
        <v>236</v>
      </c>
      <c r="C33" s="235"/>
      <c r="D33" s="235"/>
      <c r="E33" s="235"/>
      <c r="F33" s="236">
        <f t="shared" si="0"/>
        <v>0</v>
      </c>
      <c r="G33" s="239">
        <f>SUM(D22:D33)</f>
        <v>0</v>
      </c>
      <c r="H33" s="515"/>
      <c r="I33" s="234" t="s">
        <v>236</v>
      </c>
      <c r="J33" s="235"/>
      <c r="K33" s="235"/>
      <c r="L33" s="235"/>
      <c r="M33" s="236">
        <f t="shared" si="1"/>
        <v>0</v>
      </c>
      <c r="N33" s="239">
        <f>SUM(K22:K33)</f>
        <v>0</v>
      </c>
      <c r="O33" s="512"/>
      <c r="P33" s="234" t="s">
        <v>236</v>
      </c>
      <c r="Q33" s="235"/>
      <c r="R33" s="235"/>
      <c r="S33" s="235"/>
      <c r="T33" s="236"/>
      <c r="U33" s="236"/>
      <c r="V33" s="512"/>
      <c r="W33" s="234" t="s">
        <v>236</v>
      </c>
      <c r="X33" s="235"/>
      <c r="Y33" s="235"/>
      <c r="Z33" s="235"/>
      <c r="AA33" s="236"/>
      <c r="AB33" s="236"/>
      <c r="AC33" s="512"/>
      <c r="AD33" s="234" t="s">
        <v>236</v>
      </c>
      <c r="AE33" s="235"/>
      <c r="AF33" s="235"/>
      <c r="AG33" s="235"/>
      <c r="AH33" s="236"/>
      <c r="AI33" s="236"/>
      <c r="AJ33" s="208">
        <f>AJ21+1</f>
        <v>2023</v>
      </c>
      <c r="AK33" s="240">
        <f>G33+N33+U33+AB33+AI33</f>
        <v>0</v>
      </c>
    </row>
    <row r="34" spans="1:37" x14ac:dyDescent="0.2">
      <c r="A34" s="512">
        <f>A22+1</f>
        <v>2024</v>
      </c>
      <c r="B34" s="234" t="s">
        <v>225</v>
      </c>
      <c r="C34" s="235"/>
      <c r="D34" s="235"/>
      <c r="E34" s="235"/>
      <c r="F34" s="236">
        <f t="shared" si="0"/>
        <v>0</v>
      </c>
      <c r="G34" s="237"/>
      <c r="H34" s="513">
        <f>H22+1</f>
        <v>2024</v>
      </c>
      <c r="I34" s="234" t="s">
        <v>225</v>
      </c>
      <c r="J34" s="235"/>
      <c r="K34" s="235"/>
      <c r="L34" s="235"/>
      <c r="M34" s="236">
        <f t="shared" si="1"/>
        <v>0</v>
      </c>
      <c r="N34" s="236"/>
      <c r="O34" s="512">
        <f>O22+1</f>
        <v>2024</v>
      </c>
      <c r="P34" s="234" t="s">
        <v>225</v>
      </c>
      <c r="Q34" s="235"/>
      <c r="R34" s="235">
        <f>Q34*$D$7/12</f>
        <v>0</v>
      </c>
      <c r="S34" s="235"/>
      <c r="T34" s="236">
        <f>R34+S34</f>
        <v>0</v>
      </c>
      <c r="U34" s="236"/>
      <c r="V34" s="512">
        <f>V22+1</f>
        <v>2023</v>
      </c>
      <c r="W34" s="234" t="s">
        <v>225</v>
      </c>
      <c r="X34" s="235"/>
      <c r="Y34" s="235">
        <f>X34*$D$7/12</f>
        <v>0</v>
      </c>
      <c r="Z34" s="235"/>
      <c r="AA34" s="236">
        <f>Y34+Z34</f>
        <v>0</v>
      </c>
      <c r="AB34" s="236"/>
      <c r="AC34" s="512">
        <f>AC22+1</f>
        <v>2023</v>
      </c>
      <c r="AD34" s="234" t="s">
        <v>225</v>
      </c>
      <c r="AE34" s="235"/>
      <c r="AF34" s="235">
        <f>AE34*$D$7/12</f>
        <v>0</v>
      </c>
      <c r="AG34" s="235"/>
      <c r="AH34" s="236">
        <f>AF34+AG34</f>
        <v>0</v>
      </c>
      <c r="AI34" s="236"/>
      <c r="AK34" s="240"/>
    </row>
    <row r="35" spans="1:37" x14ac:dyDescent="0.2">
      <c r="A35" s="512"/>
      <c r="B35" s="234" t="s">
        <v>226</v>
      </c>
      <c r="C35" s="235"/>
      <c r="D35" s="235"/>
      <c r="E35" s="235"/>
      <c r="F35" s="236">
        <f t="shared" si="0"/>
        <v>0</v>
      </c>
      <c r="G35" s="238"/>
      <c r="H35" s="514"/>
      <c r="I35" s="234" t="s">
        <v>226</v>
      </c>
      <c r="J35" s="235"/>
      <c r="K35" s="235"/>
      <c r="L35" s="235"/>
      <c r="M35" s="236">
        <f t="shared" si="1"/>
        <v>0</v>
      </c>
      <c r="N35" s="236"/>
      <c r="O35" s="512"/>
      <c r="P35" s="234" t="s">
        <v>226</v>
      </c>
      <c r="Q35" s="235"/>
      <c r="R35" s="235">
        <f t="shared" ref="R35:R98" si="2">Q35*$D$7/12</f>
        <v>0</v>
      </c>
      <c r="S35" s="235"/>
      <c r="T35" s="236">
        <f>R35+S35</f>
        <v>0</v>
      </c>
      <c r="U35" s="236"/>
      <c r="V35" s="512"/>
      <c r="W35" s="234" t="s">
        <v>226</v>
      </c>
      <c r="X35" s="235"/>
      <c r="Y35" s="235">
        <f t="shared" ref="Y35:Y69" si="3">X35*$D$7/12</f>
        <v>0</v>
      </c>
      <c r="Z35" s="235"/>
      <c r="AA35" s="236">
        <f>Y35+Z35</f>
        <v>0</v>
      </c>
      <c r="AB35" s="236"/>
      <c r="AC35" s="512"/>
      <c r="AD35" s="234" t="s">
        <v>226</v>
      </c>
      <c r="AE35" s="235"/>
      <c r="AF35" s="235">
        <f t="shared" ref="AF35:AF69" si="4">AE35*$D$7/12</f>
        <v>0</v>
      </c>
      <c r="AG35" s="235"/>
      <c r="AH35" s="236">
        <f>AF35+AG35</f>
        <v>0</v>
      </c>
      <c r="AI35" s="236"/>
      <c r="AK35" s="240"/>
    </row>
    <row r="36" spans="1:37" x14ac:dyDescent="0.2">
      <c r="A36" s="512"/>
      <c r="B36" s="234" t="s">
        <v>227</v>
      </c>
      <c r="C36" s="235"/>
      <c r="D36" s="235"/>
      <c r="E36" s="235"/>
      <c r="F36" s="236">
        <f t="shared" si="0"/>
        <v>0</v>
      </c>
      <c r="G36" s="238"/>
      <c r="H36" s="514"/>
      <c r="I36" s="234" t="s">
        <v>227</v>
      </c>
      <c r="J36" s="235"/>
      <c r="K36" s="235"/>
      <c r="L36" s="235"/>
      <c r="M36" s="236">
        <f t="shared" si="1"/>
        <v>0</v>
      </c>
      <c r="N36" s="236"/>
      <c r="O36" s="512"/>
      <c r="P36" s="234" t="s">
        <v>227</v>
      </c>
      <c r="Q36" s="235"/>
      <c r="R36" s="235">
        <f t="shared" si="2"/>
        <v>0</v>
      </c>
      <c r="S36" s="235"/>
      <c r="T36" s="236">
        <f t="shared" ref="T36:T99" si="5">R36+S36</f>
        <v>0</v>
      </c>
      <c r="U36" s="236"/>
      <c r="V36" s="512"/>
      <c r="W36" s="234" t="s">
        <v>227</v>
      </c>
      <c r="X36" s="235"/>
      <c r="Y36" s="235">
        <f t="shared" si="3"/>
        <v>0</v>
      </c>
      <c r="Z36" s="235"/>
      <c r="AA36" s="236">
        <f t="shared" ref="AA36:AA99" si="6">Y36+Z36</f>
        <v>0</v>
      </c>
      <c r="AB36" s="236"/>
      <c r="AC36" s="512"/>
      <c r="AD36" s="234" t="s">
        <v>227</v>
      </c>
      <c r="AE36" s="235"/>
      <c r="AF36" s="235">
        <f t="shared" si="4"/>
        <v>0</v>
      </c>
      <c r="AG36" s="235"/>
      <c r="AH36" s="236">
        <f t="shared" ref="AH36:AH99" si="7">AF36+AG36</f>
        <v>0</v>
      </c>
      <c r="AI36" s="236"/>
      <c r="AK36" s="240"/>
    </row>
    <row r="37" spans="1:37" x14ac:dyDescent="0.2">
      <c r="A37" s="512"/>
      <c r="B37" s="234" t="s">
        <v>228</v>
      </c>
      <c r="C37" s="235"/>
      <c r="D37" s="235"/>
      <c r="E37" s="235"/>
      <c r="F37" s="236">
        <f t="shared" si="0"/>
        <v>0</v>
      </c>
      <c r="G37" s="238"/>
      <c r="H37" s="514"/>
      <c r="I37" s="234" t="s">
        <v>228</v>
      </c>
      <c r="J37" s="235"/>
      <c r="K37" s="235"/>
      <c r="L37" s="235"/>
      <c r="M37" s="236">
        <f t="shared" si="1"/>
        <v>0</v>
      </c>
      <c r="N37" s="236"/>
      <c r="O37" s="512"/>
      <c r="P37" s="234" t="s">
        <v>228</v>
      </c>
      <c r="Q37" s="235"/>
      <c r="R37" s="235">
        <f t="shared" si="2"/>
        <v>0</v>
      </c>
      <c r="S37" s="235"/>
      <c r="T37" s="236">
        <f t="shared" si="5"/>
        <v>0</v>
      </c>
      <c r="U37" s="236"/>
      <c r="V37" s="512"/>
      <c r="W37" s="234" t="s">
        <v>228</v>
      </c>
      <c r="X37" s="235"/>
      <c r="Y37" s="235">
        <f t="shared" si="3"/>
        <v>0</v>
      </c>
      <c r="Z37" s="235"/>
      <c r="AA37" s="236">
        <f t="shared" si="6"/>
        <v>0</v>
      </c>
      <c r="AB37" s="236"/>
      <c r="AC37" s="512"/>
      <c r="AD37" s="234" t="s">
        <v>228</v>
      </c>
      <c r="AE37" s="235"/>
      <c r="AF37" s="235">
        <f t="shared" si="4"/>
        <v>0</v>
      </c>
      <c r="AG37" s="235"/>
      <c r="AH37" s="236">
        <f t="shared" si="7"/>
        <v>0</v>
      </c>
      <c r="AI37" s="236"/>
      <c r="AK37" s="240"/>
    </row>
    <row r="38" spans="1:37" x14ac:dyDescent="0.2">
      <c r="A38" s="512"/>
      <c r="B38" s="234" t="s">
        <v>229</v>
      </c>
      <c r="C38" s="235"/>
      <c r="D38" s="235"/>
      <c r="E38" s="235"/>
      <c r="F38" s="236">
        <f t="shared" si="0"/>
        <v>0</v>
      </c>
      <c r="G38" s="238"/>
      <c r="H38" s="514"/>
      <c r="I38" s="234" t="s">
        <v>229</v>
      </c>
      <c r="J38" s="235"/>
      <c r="K38" s="235"/>
      <c r="L38" s="235"/>
      <c r="M38" s="236">
        <f t="shared" si="1"/>
        <v>0</v>
      </c>
      <c r="N38" s="236"/>
      <c r="O38" s="512"/>
      <c r="P38" s="234" t="s">
        <v>229</v>
      </c>
      <c r="Q38" s="235"/>
      <c r="R38" s="235">
        <f t="shared" si="2"/>
        <v>0</v>
      </c>
      <c r="S38" s="235"/>
      <c r="T38" s="236">
        <f t="shared" si="5"/>
        <v>0</v>
      </c>
      <c r="U38" s="236"/>
      <c r="V38" s="512"/>
      <c r="W38" s="234" t="s">
        <v>229</v>
      </c>
      <c r="X38" s="235"/>
      <c r="Y38" s="235">
        <f t="shared" si="3"/>
        <v>0</v>
      </c>
      <c r="Z38" s="235"/>
      <c r="AA38" s="236">
        <f t="shared" si="6"/>
        <v>0</v>
      </c>
      <c r="AB38" s="236"/>
      <c r="AC38" s="512"/>
      <c r="AD38" s="234" t="s">
        <v>229</v>
      </c>
      <c r="AE38" s="235"/>
      <c r="AF38" s="235">
        <f t="shared" si="4"/>
        <v>0</v>
      </c>
      <c r="AG38" s="235"/>
      <c r="AH38" s="236">
        <f t="shared" si="7"/>
        <v>0</v>
      </c>
      <c r="AI38" s="236"/>
      <c r="AK38" s="240"/>
    </row>
    <row r="39" spans="1:37" x14ac:dyDescent="0.2">
      <c r="A39" s="512"/>
      <c r="B39" s="234" t="s">
        <v>230</v>
      </c>
      <c r="C39" s="235"/>
      <c r="D39" s="235"/>
      <c r="E39" s="235"/>
      <c r="F39" s="236">
        <f t="shared" si="0"/>
        <v>0</v>
      </c>
      <c r="G39" s="238"/>
      <c r="H39" s="514"/>
      <c r="I39" s="234" t="s">
        <v>230</v>
      </c>
      <c r="J39" s="235"/>
      <c r="K39" s="235"/>
      <c r="L39" s="235"/>
      <c r="M39" s="236">
        <f t="shared" si="1"/>
        <v>0</v>
      </c>
      <c r="N39" s="236"/>
      <c r="O39" s="512"/>
      <c r="P39" s="234" t="s">
        <v>230</v>
      </c>
      <c r="Q39" s="235"/>
      <c r="R39" s="235">
        <f t="shared" si="2"/>
        <v>0</v>
      </c>
      <c r="S39" s="235"/>
      <c r="T39" s="236">
        <f t="shared" si="5"/>
        <v>0</v>
      </c>
      <c r="U39" s="236"/>
      <c r="V39" s="512"/>
      <c r="W39" s="234" t="s">
        <v>230</v>
      </c>
      <c r="X39" s="235"/>
      <c r="Y39" s="235">
        <f t="shared" si="3"/>
        <v>0</v>
      </c>
      <c r="Z39" s="235"/>
      <c r="AA39" s="236">
        <f t="shared" si="6"/>
        <v>0</v>
      </c>
      <c r="AB39" s="236"/>
      <c r="AC39" s="512"/>
      <c r="AD39" s="234" t="s">
        <v>230</v>
      </c>
      <c r="AE39" s="235"/>
      <c r="AF39" s="235">
        <f t="shared" si="4"/>
        <v>0</v>
      </c>
      <c r="AG39" s="235"/>
      <c r="AH39" s="236">
        <f t="shared" si="7"/>
        <v>0</v>
      </c>
      <c r="AI39" s="236"/>
      <c r="AK39" s="240"/>
    </row>
    <row r="40" spans="1:37" x14ac:dyDescent="0.2">
      <c r="A40" s="512"/>
      <c r="B40" s="234" t="s">
        <v>231</v>
      </c>
      <c r="C40" s="235"/>
      <c r="D40" s="235"/>
      <c r="E40" s="235"/>
      <c r="F40" s="236">
        <f t="shared" si="0"/>
        <v>0</v>
      </c>
      <c r="G40" s="238"/>
      <c r="H40" s="514"/>
      <c r="I40" s="234" t="s">
        <v>231</v>
      </c>
      <c r="J40" s="235"/>
      <c r="K40" s="235"/>
      <c r="L40" s="235"/>
      <c r="M40" s="236">
        <f t="shared" si="1"/>
        <v>0</v>
      </c>
      <c r="N40" s="236"/>
      <c r="O40" s="512"/>
      <c r="P40" s="234" t="s">
        <v>231</v>
      </c>
      <c r="Q40" s="235"/>
      <c r="R40" s="235">
        <f t="shared" si="2"/>
        <v>0</v>
      </c>
      <c r="S40" s="235"/>
      <c r="T40" s="236">
        <f t="shared" si="5"/>
        <v>0</v>
      </c>
      <c r="U40" s="236"/>
      <c r="V40" s="512"/>
      <c r="W40" s="234" t="s">
        <v>231</v>
      </c>
      <c r="X40" s="235"/>
      <c r="Y40" s="235">
        <f t="shared" si="3"/>
        <v>0</v>
      </c>
      <c r="Z40" s="235"/>
      <c r="AA40" s="236">
        <f t="shared" si="6"/>
        <v>0</v>
      </c>
      <c r="AB40" s="236"/>
      <c r="AC40" s="512"/>
      <c r="AD40" s="234" t="s">
        <v>231</v>
      </c>
      <c r="AE40" s="235"/>
      <c r="AF40" s="235">
        <f t="shared" si="4"/>
        <v>0</v>
      </c>
      <c r="AG40" s="235"/>
      <c r="AH40" s="236">
        <f t="shared" si="7"/>
        <v>0</v>
      </c>
      <c r="AI40" s="236"/>
      <c r="AK40" s="240"/>
    </row>
    <row r="41" spans="1:37" x14ac:dyDescent="0.2">
      <c r="A41" s="512"/>
      <c r="B41" s="234" t="s">
        <v>232</v>
      </c>
      <c r="C41" s="235"/>
      <c r="D41" s="235"/>
      <c r="E41" s="235"/>
      <c r="F41" s="236">
        <f t="shared" si="0"/>
        <v>0</v>
      </c>
      <c r="G41" s="238"/>
      <c r="H41" s="514"/>
      <c r="I41" s="234" t="s">
        <v>232</v>
      </c>
      <c r="J41" s="235"/>
      <c r="K41" s="235"/>
      <c r="L41" s="235"/>
      <c r="M41" s="236">
        <f t="shared" si="1"/>
        <v>0</v>
      </c>
      <c r="N41" s="236"/>
      <c r="O41" s="512"/>
      <c r="P41" s="234" t="s">
        <v>232</v>
      </c>
      <c r="Q41" s="235"/>
      <c r="R41" s="235">
        <f t="shared" si="2"/>
        <v>0</v>
      </c>
      <c r="S41" s="235"/>
      <c r="T41" s="236">
        <f t="shared" si="5"/>
        <v>0</v>
      </c>
      <c r="U41" s="236"/>
      <c r="V41" s="512"/>
      <c r="W41" s="234" t="s">
        <v>232</v>
      </c>
      <c r="X41" s="235"/>
      <c r="Y41" s="235">
        <f t="shared" si="3"/>
        <v>0</v>
      </c>
      <c r="Z41" s="235"/>
      <c r="AA41" s="236">
        <f t="shared" si="6"/>
        <v>0</v>
      </c>
      <c r="AB41" s="236"/>
      <c r="AC41" s="512"/>
      <c r="AD41" s="234" t="s">
        <v>232</v>
      </c>
      <c r="AE41" s="235"/>
      <c r="AF41" s="235">
        <f t="shared" si="4"/>
        <v>0</v>
      </c>
      <c r="AG41" s="235"/>
      <c r="AH41" s="236">
        <f t="shared" si="7"/>
        <v>0</v>
      </c>
      <c r="AI41" s="236"/>
      <c r="AK41" s="240"/>
    </row>
    <row r="42" spans="1:37" x14ac:dyDescent="0.2">
      <c r="A42" s="512"/>
      <c r="B42" s="234" t="s">
        <v>233</v>
      </c>
      <c r="C42" s="235"/>
      <c r="D42" s="235"/>
      <c r="E42" s="235"/>
      <c r="F42" s="236">
        <f t="shared" si="0"/>
        <v>0</v>
      </c>
      <c r="G42" s="238"/>
      <c r="H42" s="514"/>
      <c r="I42" s="234" t="s">
        <v>233</v>
      </c>
      <c r="J42" s="235"/>
      <c r="K42" s="235"/>
      <c r="L42" s="235"/>
      <c r="M42" s="236">
        <f t="shared" si="1"/>
        <v>0</v>
      </c>
      <c r="N42" s="236"/>
      <c r="O42" s="512"/>
      <c r="P42" s="234" t="s">
        <v>233</v>
      </c>
      <c r="Q42" s="235"/>
      <c r="R42" s="235">
        <f t="shared" si="2"/>
        <v>0</v>
      </c>
      <c r="S42" s="235"/>
      <c r="T42" s="236">
        <f t="shared" si="5"/>
        <v>0</v>
      </c>
      <c r="U42" s="236"/>
      <c r="V42" s="512"/>
      <c r="W42" s="234" t="s">
        <v>233</v>
      </c>
      <c r="X42" s="235"/>
      <c r="Y42" s="235">
        <f t="shared" si="3"/>
        <v>0</v>
      </c>
      <c r="Z42" s="235"/>
      <c r="AA42" s="236">
        <f t="shared" si="6"/>
        <v>0</v>
      </c>
      <c r="AB42" s="236"/>
      <c r="AC42" s="512"/>
      <c r="AD42" s="234" t="s">
        <v>233</v>
      </c>
      <c r="AE42" s="235"/>
      <c r="AF42" s="235">
        <f t="shared" si="4"/>
        <v>0</v>
      </c>
      <c r="AG42" s="235"/>
      <c r="AH42" s="236">
        <f t="shared" si="7"/>
        <v>0</v>
      </c>
      <c r="AI42" s="236"/>
      <c r="AK42" s="240"/>
    </row>
    <row r="43" spans="1:37" x14ac:dyDescent="0.2">
      <c r="A43" s="512"/>
      <c r="B43" s="234" t="s">
        <v>234</v>
      </c>
      <c r="C43" s="235"/>
      <c r="D43" s="235"/>
      <c r="E43" s="235"/>
      <c r="F43" s="236">
        <f t="shared" si="0"/>
        <v>0</v>
      </c>
      <c r="G43" s="238"/>
      <c r="H43" s="514"/>
      <c r="I43" s="234" t="s">
        <v>234</v>
      </c>
      <c r="J43" s="235"/>
      <c r="K43" s="235"/>
      <c r="L43" s="235"/>
      <c r="M43" s="236">
        <f t="shared" si="1"/>
        <v>0</v>
      </c>
      <c r="N43" s="236"/>
      <c r="O43" s="512"/>
      <c r="P43" s="234" t="s">
        <v>234</v>
      </c>
      <c r="Q43" s="235"/>
      <c r="R43" s="235">
        <f t="shared" si="2"/>
        <v>0</v>
      </c>
      <c r="S43" s="235"/>
      <c r="T43" s="236">
        <f t="shared" si="5"/>
        <v>0</v>
      </c>
      <c r="U43" s="236"/>
      <c r="V43" s="512"/>
      <c r="W43" s="234" t="s">
        <v>234</v>
      </c>
      <c r="X43" s="235"/>
      <c r="Y43" s="235">
        <f t="shared" si="3"/>
        <v>0</v>
      </c>
      <c r="Z43" s="235"/>
      <c r="AA43" s="236">
        <f t="shared" si="6"/>
        <v>0</v>
      </c>
      <c r="AB43" s="236"/>
      <c r="AC43" s="512"/>
      <c r="AD43" s="234" t="s">
        <v>234</v>
      </c>
      <c r="AE43" s="235"/>
      <c r="AF43" s="235">
        <f t="shared" si="4"/>
        <v>0</v>
      </c>
      <c r="AG43" s="235"/>
      <c r="AH43" s="236">
        <f t="shared" si="7"/>
        <v>0</v>
      </c>
      <c r="AI43" s="236"/>
      <c r="AK43" s="240"/>
    </row>
    <row r="44" spans="1:37" x14ac:dyDescent="0.2">
      <c r="A44" s="512"/>
      <c r="B44" s="234" t="s">
        <v>235</v>
      </c>
      <c r="C44" s="235"/>
      <c r="D44" s="235"/>
      <c r="E44" s="235"/>
      <c r="F44" s="236">
        <f t="shared" si="0"/>
        <v>0</v>
      </c>
      <c r="G44" s="238"/>
      <c r="H44" s="514"/>
      <c r="I44" s="234" t="s">
        <v>235</v>
      </c>
      <c r="J44" s="235"/>
      <c r="K44" s="235"/>
      <c r="L44" s="235"/>
      <c r="M44" s="236">
        <f t="shared" si="1"/>
        <v>0</v>
      </c>
      <c r="N44" s="236"/>
      <c r="O44" s="512"/>
      <c r="P44" s="234" t="s">
        <v>235</v>
      </c>
      <c r="Q44" s="235"/>
      <c r="R44" s="235">
        <f t="shared" si="2"/>
        <v>0</v>
      </c>
      <c r="S44" s="235"/>
      <c r="T44" s="236">
        <f t="shared" si="5"/>
        <v>0</v>
      </c>
      <c r="U44" s="236"/>
      <c r="V44" s="512"/>
      <c r="W44" s="234" t="s">
        <v>235</v>
      </c>
      <c r="X44" s="235"/>
      <c r="Y44" s="235">
        <f t="shared" si="3"/>
        <v>0</v>
      </c>
      <c r="Z44" s="235"/>
      <c r="AA44" s="236">
        <f t="shared" si="6"/>
        <v>0</v>
      </c>
      <c r="AB44" s="236"/>
      <c r="AC44" s="512"/>
      <c r="AD44" s="234" t="s">
        <v>235</v>
      </c>
      <c r="AE44" s="235"/>
      <c r="AF44" s="235">
        <f t="shared" si="4"/>
        <v>0</v>
      </c>
      <c r="AG44" s="235"/>
      <c r="AH44" s="236">
        <f t="shared" si="7"/>
        <v>0</v>
      </c>
      <c r="AI44" s="236"/>
      <c r="AK44" s="240"/>
    </row>
    <row r="45" spans="1:37" x14ac:dyDescent="0.2">
      <c r="A45" s="512"/>
      <c r="B45" s="234" t="s">
        <v>236</v>
      </c>
      <c r="C45" s="235"/>
      <c r="D45" s="235"/>
      <c r="E45" s="235"/>
      <c r="F45" s="236">
        <f t="shared" si="0"/>
        <v>0</v>
      </c>
      <c r="G45" s="239">
        <f>SUM(D34:D45)</f>
        <v>0</v>
      </c>
      <c r="H45" s="515"/>
      <c r="I45" s="234" t="s">
        <v>236</v>
      </c>
      <c r="J45" s="235"/>
      <c r="K45" s="235"/>
      <c r="L45" s="235"/>
      <c r="M45" s="236">
        <f t="shared" si="1"/>
        <v>0</v>
      </c>
      <c r="N45" s="239">
        <f>SUM(K34:K45)</f>
        <v>0</v>
      </c>
      <c r="O45" s="512"/>
      <c r="P45" s="234" t="s">
        <v>236</v>
      </c>
      <c r="Q45" s="235"/>
      <c r="R45" s="235">
        <f t="shared" si="2"/>
        <v>0</v>
      </c>
      <c r="S45" s="235"/>
      <c r="T45" s="236">
        <f t="shared" si="5"/>
        <v>0</v>
      </c>
      <c r="U45" s="239">
        <f>SUM(R34:R45)</f>
        <v>0</v>
      </c>
      <c r="V45" s="512"/>
      <c r="W45" s="234" t="s">
        <v>236</v>
      </c>
      <c r="X45" s="235"/>
      <c r="Y45" s="235">
        <f t="shared" si="3"/>
        <v>0</v>
      </c>
      <c r="Z45" s="235"/>
      <c r="AA45" s="236">
        <f t="shared" si="6"/>
        <v>0</v>
      </c>
      <c r="AB45" s="239">
        <f>SUM(Y34:Y45)</f>
        <v>0</v>
      </c>
      <c r="AC45" s="512"/>
      <c r="AD45" s="234" t="s">
        <v>236</v>
      </c>
      <c r="AE45" s="235"/>
      <c r="AF45" s="235">
        <f t="shared" si="4"/>
        <v>0</v>
      </c>
      <c r="AG45" s="235"/>
      <c r="AH45" s="236">
        <f t="shared" si="7"/>
        <v>0</v>
      </c>
      <c r="AI45" s="239">
        <f>SUM(AF34:AF45)</f>
        <v>0</v>
      </c>
      <c r="AJ45" s="208">
        <f>AJ33+1</f>
        <v>2024</v>
      </c>
      <c r="AK45" s="240">
        <f>G45+N45+U45+AB45+AI45</f>
        <v>0</v>
      </c>
    </row>
    <row r="46" spans="1:37" x14ac:dyDescent="0.2">
      <c r="A46" s="512">
        <f>A34+1</f>
        <v>2025</v>
      </c>
      <c r="B46" s="234" t="s">
        <v>225</v>
      </c>
      <c r="C46" s="235">
        <f>C7</f>
        <v>29078.698999999997</v>
      </c>
      <c r="D46" s="235">
        <f t="shared" ref="D46:D109" si="8">C46*$D$7/12</f>
        <v>484.6449833333333</v>
      </c>
      <c r="E46" s="235">
        <f t="shared" ref="E46:E66" si="9">$C$7/$D$8</f>
        <v>242.32249166666665</v>
      </c>
      <c r="F46" s="236">
        <f t="shared" si="0"/>
        <v>726.96747499999992</v>
      </c>
      <c r="G46" s="237"/>
      <c r="H46" s="513">
        <f>H34+1</f>
        <v>2025</v>
      </c>
      <c r="I46" s="234" t="s">
        <v>225</v>
      </c>
      <c r="J46" s="235">
        <f>J7-J8</f>
        <v>385.62599999999998</v>
      </c>
      <c r="K46" s="235">
        <f t="shared" ref="K46:K109" si="10">J46*$D$7/12</f>
        <v>6.4271000000000003</v>
      </c>
      <c r="L46" s="235">
        <f t="shared" ref="L46:L109" si="11">$J$7/$K$8</f>
        <v>3.2135499999999997</v>
      </c>
      <c r="M46" s="236">
        <f t="shared" si="1"/>
        <v>9.6406500000000008</v>
      </c>
      <c r="N46" s="236"/>
      <c r="O46" s="512">
        <f>O34+1</f>
        <v>2025</v>
      </c>
      <c r="P46" s="234" t="s">
        <v>225</v>
      </c>
      <c r="Q46" s="235"/>
      <c r="R46" s="235">
        <f>Q46*$R$7/12</f>
        <v>0</v>
      </c>
      <c r="S46" s="235"/>
      <c r="T46" s="236">
        <f t="shared" si="5"/>
        <v>0</v>
      </c>
      <c r="U46" s="236"/>
      <c r="V46" s="512">
        <f>V34+1</f>
        <v>2024</v>
      </c>
      <c r="W46" s="234" t="s">
        <v>225</v>
      </c>
      <c r="X46" s="235"/>
      <c r="Y46" s="235">
        <f t="shared" si="3"/>
        <v>0</v>
      </c>
      <c r="Z46" s="235"/>
      <c r="AA46" s="236">
        <f t="shared" si="6"/>
        <v>0</v>
      </c>
      <c r="AB46" s="236"/>
      <c r="AC46" s="512">
        <f>AC34+1</f>
        <v>2024</v>
      </c>
      <c r="AD46" s="234" t="s">
        <v>225</v>
      </c>
      <c r="AE46" s="235"/>
      <c r="AF46" s="235">
        <f t="shared" si="4"/>
        <v>0</v>
      </c>
      <c r="AG46" s="235"/>
      <c r="AH46" s="236">
        <f t="shared" si="7"/>
        <v>0</v>
      </c>
      <c r="AI46" s="236"/>
      <c r="AK46" s="240"/>
    </row>
    <row r="47" spans="1:37" x14ac:dyDescent="0.2">
      <c r="A47" s="512"/>
      <c r="B47" s="234" t="s">
        <v>226</v>
      </c>
      <c r="C47" s="235">
        <f t="shared" ref="C47:C110" si="12">C46-E46</f>
        <v>28836.376508333331</v>
      </c>
      <c r="D47" s="235">
        <f t="shared" si="8"/>
        <v>480.60627513888886</v>
      </c>
      <c r="E47" s="235">
        <f t="shared" si="9"/>
        <v>242.32249166666665</v>
      </c>
      <c r="F47" s="236">
        <f t="shared" si="0"/>
        <v>722.92876680555548</v>
      </c>
      <c r="G47" s="238"/>
      <c r="H47" s="514"/>
      <c r="I47" s="234" t="s">
        <v>226</v>
      </c>
      <c r="J47" s="235">
        <f t="shared" ref="J47:J110" si="13">J46-L46</f>
        <v>382.41244999999998</v>
      </c>
      <c r="K47" s="235">
        <f t="shared" si="10"/>
        <v>6.3735408333333332</v>
      </c>
      <c r="L47" s="235">
        <f t="shared" si="11"/>
        <v>3.2135499999999997</v>
      </c>
      <c r="M47" s="236">
        <f t="shared" si="1"/>
        <v>9.5870908333333329</v>
      </c>
      <c r="N47" s="236"/>
      <c r="O47" s="512"/>
      <c r="P47" s="234" t="s">
        <v>226</v>
      </c>
      <c r="Q47" s="235"/>
      <c r="R47" s="235">
        <f t="shared" si="2"/>
        <v>0</v>
      </c>
      <c r="S47" s="235"/>
      <c r="T47" s="236">
        <f t="shared" si="5"/>
        <v>0</v>
      </c>
      <c r="U47" s="236"/>
      <c r="V47" s="512"/>
      <c r="W47" s="234" t="s">
        <v>226</v>
      </c>
      <c r="X47" s="235"/>
      <c r="Y47" s="235">
        <f t="shared" si="3"/>
        <v>0</v>
      </c>
      <c r="Z47" s="235"/>
      <c r="AA47" s="236">
        <f t="shared" si="6"/>
        <v>0</v>
      </c>
      <c r="AB47" s="236"/>
      <c r="AC47" s="512"/>
      <c r="AD47" s="234" t="s">
        <v>226</v>
      </c>
      <c r="AE47" s="235"/>
      <c r="AF47" s="235">
        <f t="shared" si="4"/>
        <v>0</v>
      </c>
      <c r="AG47" s="235"/>
      <c r="AH47" s="236">
        <f t="shared" si="7"/>
        <v>0</v>
      </c>
      <c r="AI47" s="236"/>
      <c r="AK47" s="240"/>
    </row>
    <row r="48" spans="1:37" x14ac:dyDescent="0.2">
      <c r="A48" s="512"/>
      <c r="B48" s="234" t="s">
        <v>227</v>
      </c>
      <c r="C48" s="235">
        <f t="shared" si="12"/>
        <v>28594.054016666665</v>
      </c>
      <c r="D48" s="235">
        <f t="shared" si="8"/>
        <v>476.56756694444448</v>
      </c>
      <c r="E48" s="235">
        <f t="shared" si="9"/>
        <v>242.32249166666665</v>
      </c>
      <c r="F48" s="236">
        <f t="shared" si="0"/>
        <v>718.89005861111116</v>
      </c>
      <c r="G48" s="238"/>
      <c r="H48" s="514"/>
      <c r="I48" s="234" t="s">
        <v>227</v>
      </c>
      <c r="J48" s="235">
        <f t="shared" si="13"/>
        <v>379.19889999999998</v>
      </c>
      <c r="K48" s="235">
        <f t="shared" si="10"/>
        <v>6.3199816666666671</v>
      </c>
      <c r="L48" s="235">
        <f t="shared" si="11"/>
        <v>3.2135499999999997</v>
      </c>
      <c r="M48" s="236">
        <f t="shared" si="1"/>
        <v>9.5335316666666667</v>
      </c>
      <c r="N48" s="236"/>
      <c r="O48" s="512"/>
      <c r="P48" s="234" t="s">
        <v>227</v>
      </c>
      <c r="Q48" s="235"/>
      <c r="R48" s="235">
        <f t="shared" si="2"/>
        <v>0</v>
      </c>
      <c r="S48" s="235"/>
      <c r="T48" s="236">
        <f t="shared" si="5"/>
        <v>0</v>
      </c>
      <c r="U48" s="236"/>
      <c r="V48" s="512"/>
      <c r="W48" s="234" t="s">
        <v>227</v>
      </c>
      <c r="X48" s="235"/>
      <c r="Y48" s="235">
        <f t="shared" si="3"/>
        <v>0</v>
      </c>
      <c r="Z48" s="235"/>
      <c r="AA48" s="236">
        <f t="shared" si="6"/>
        <v>0</v>
      </c>
      <c r="AB48" s="236"/>
      <c r="AC48" s="512"/>
      <c r="AD48" s="234" t="s">
        <v>227</v>
      </c>
      <c r="AE48" s="235"/>
      <c r="AF48" s="235">
        <f t="shared" si="4"/>
        <v>0</v>
      </c>
      <c r="AG48" s="235"/>
      <c r="AH48" s="236">
        <f t="shared" si="7"/>
        <v>0</v>
      </c>
      <c r="AI48" s="236"/>
      <c r="AK48" s="240"/>
    </row>
    <row r="49" spans="1:37" x14ac:dyDescent="0.2">
      <c r="A49" s="512"/>
      <c r="B49" s="234" t="s">
        <v>228</v>
      </c>
      <c r="C49" s="235">
        <f t="shared" si="12"/>
        <v>28351.731524999999</v>
      </c>
      <c r="D49" s="235">
        <f t="shared" si="8"/>
        <v>472.52885874999998</v>
      </c>
      <c r="E49" s="235">
        <f t="shared" si="9"/>
        <v>242.32249166666665</v>
      </c>
      <c r="F49" s="236">
        <f t="shared" si="0"/>
        <v>714.85135041666661</v>
      </c>
      <c r="G49" s="238"/>
      <c r="H49" s="514"/>
      <c r="I49" s="234" t="s">
        <v>228</v>
      </c>
      <c r="J49" s="235">
        <f t="shared" si="13"/>
        <v>375.98534999999998</v>
      </c>
      <c r="K49" s="235">
        <f t="shared" si="10"/>
        <v>6.2664225</v>
      </c>
      <c r="L49" s="235">
        <f t="shared" si="11"/>
        <v>3.2135499999999997</v>
      </c>
      <c r="M49" s="236">
        <f t="shared" si="1"/>
        <v>9.4799724999999988</v>
      </c>
      <c r="N49" s="236"/>
      <c r="O49" s="512"/>
      <c r="P49" s="234" t="s">
        <v>228</v>
      </c>
      <c r="Q49" s="235"/>
      <c r="R49" s="235">
        <f t="shared" si="2"/>
        <v>0</v>
      </c>
      <c r="S49" s="235"/>
      <c r="T49" s="236">
        <f t="shared" si="5"/>
        <v>0</v>
      </c>
      <c r="U49" s="236"/>
      <c r="V49" s="512"/>
      <c r="W49" s="234" t="s">
        <v>228</v>
      </c>
      <c r="X49" s="235"/>
      <c r="Y49" s="235">
        <f t="shared" si="3"/>
        <v>0</v>
      </c>
      <c r="Z49" s="235"/>
      <c r="AA49" s="236">
        <f t="shared" si="6"/>
        <v>0</v>
      </c>
      <c r="AB49" s="236"/>
      <c r="AC49" s="512"/>
      <c r="AD49" s="234" t="s">
        <v>228</v>
      </c>
      <c r="AE49" s="235"/>
      <c r="AF49" s="235">
        <f t="shared" si="4"/>
        <v>0</v>
      </c>
      <c r="AG49" s="235"/>
      <c r="AH49" s="236">
        <f t="shared" si="7"/>
        <v>0</v>
      </c>
      <c r="AI49" s="236"/>
      <c r="AK49" s="240"/>
    </row>
    <row r="50" spans="1:37" x14ac:dyDescent="0.2">
      <c r="A50" s="512"/>
      <c r="B50" s="234" t="s">
        <v>229</v>
      </c>
      <c r="C50" s="235">
        <f t="shared" si="12"/>
        <v>28109.409033333333</v>
      </c>
      <c r="D50" s="235">
        <f t="shared" si="8"/>
        <v>468.4901505555556</v>
      </c>
      <c r="E50" s="235">
        <f t="shared" si="9"/>
        <v>242.32249166666665</v>
      </c>
      <c r="F50" s="236">
        <f t="shared" si="0"/>
        <v>710.81264222222228</v>
      </c>
      <c r="G50" s="238"/>
      <c r="H50" s="514"/>
      <c r="I50" s="234" t="s">
        <v>229</v>
      </c>
      <c r="J50" s="235">
        <f t="shared" si="13"/>
        <v>372.77179999999998</v>
      </c>
      <c r="K50" s="235">
        <f t="shared" si="10"/>
        <v>6.2128633333333338</v>
      </c>
      <c r="L50" s="235">
        <f t="shared" si="11"/>
        <v>3.2135499999999997</v>
      </c>
      <c r="M50" s="236">
        <f t="shared" si="1"/>
        <v>9.4264133333333326</v>
      </c>
      <c r="N50" s="236"/>
      <c r="O50" s="512"/>
      <c r="P50" s="234" t="s">
        <v>229</v>
      </c>
      <c r="Q50" s="235"/>
      <c r="R50" s="235">
        <f t="shared" si="2"/>
        <v>0</v>
      </c>
      <c r="S50" s="235"/>
      <c r="T50" s="236">
        <f t="shared" si="5"/>
        <v>0</v>
      </c>
      <c r="U50" s="236"/>
      <c r="V50" s="512"/>
      <c r="W50" s="234" t="s">
        <v>229</v>
      </c>
      <c r="X50" s="235"/>
      <c r="Y50" s="235">
        <f t="shared" si="3"/>
        <v>0</v>
      </c>
      <c r="Z50" s="235"/>
      <c r="AA50" s="236">
        <f t="shared" si="6"/>
        <v>0</v>
      </c>
      <c r="AB50" s="236"/>
      <c r="AC50" s="512"/>
      <c r="AD50" s="234" t="s">
        <v>229</v>
      </c>
      <c r="AE50" s="235"/>
      <c r="AF50" s="235">
        <f t="shared" si="4"/>
        <v>0</v>
      </c>
      <c r="AG50" s="235"/>
      <c r="AH50" s="236">
        <f t="shared" si="7"/>
        <v>0</v>
      </c>
      <c r="AI50" s="236"/>
      <c r="AK50" s="240"/>
    </row>
    <row r="51" spans="1:37" x14ac:dyDescent="0.2">
      <c r="A51" s="512"/>
      <c r="B51" s="234" t="s">
        <v>230</v>
      </c>
      <c r="C51" s="235">
        <f t="shared" si="12"/>
        <v>27867.086541666667</v>
      </c>
      <c r="D51" s="235">
        <f t="shared" si="8"/>
        <v>464.45144236111111</v>
      </c>
      <c r="E51" s="235">
        <f t="shared" si="9"/>
        <v>242.32249166666665</v>
      </c>
      <c r="F51" s="236">
        <f t="shared" si="0"/>
        <v>706.77393402777773</v>
      </c>
      <c r="G51" s="238"/>
      <c r="H51" s="514"/>
      <c r="I51" s="234" t="s">
        <v>230</v>
      </c>
      <c r="J51" s="235">
        <f t="shared" si="13"/>
        <v>369.55824999999999</v>
      </c>
      <c r="K51" s="235">
        <f t="shared" si="10"/>
        <v>6.1593041666666659</v>
      </c>
      <c r="L51" s="235">
        <f t="shared" si="11"/>
        <v>3.2135499999999997</v>
      </c>
      <c r="M51" s="236">
        <f t="shared" si="1"/>
        <v>9.3728541666666665</v>
      </c>
      <c r="N51" s="236"/>
      <c r="O51" s="512"/>
      <c r="P51" s="234" t="s">
        <v>230</v>
      </c>
      <c r="Q51" s="235"/>
      <c r="R51" s="235">
        <f t="shared" si="2"/>
        <v>0</v>
      </c>
      <c r="S51" s="235"/>
      <c r="T51" s="236">
        <f t="shared" si="5"/>
        <v>0</v>
      </c>
      <c r="U51" s="236"/>
      <c r="V51" s="512"/>
      <c r="W51" s="234" t="s">
        <v>230</v>
      </c>
      <c r="X51" s="235"/>
      <c r="Y51" s="235">
        <f t="shared" si="3"/>
        <v>0</v>
      </c>
      <c r="Z51" s="235"/>
      <c r="AA51" s="236">
        <f t="shared" si="6"/>
        <v>0</v>
      </c>
      <c r="AB51" s="236"/>
      <c r="AC51" s="512"/>
      <c r="AD51" s="234" t="s">
        <v>230</v>
      </c>
      <c r="AE51" s="235"/>
      <c r="AF51" s="235">
        <f t="shared" si="4"/>
        <v>0</v>
      </c>
      <c r="AG51" s="235"/>
      <c r="AH51" s="236">
        <f t="shared" si="7"/>
        <v>0</v>
      </c>
      <c r="AI51" s="236"/>
      <c r="AK51" s="240"/>
    </row>
    <row r="52" spans="1:37" x14ac:dyDescent="0.2">
      <c r="A52" s="512"/>
      <c r="B52" s="234" t="s">
        <v>231</v>
      </c>
      <c r="C52" s="235">
        <f t="shared" si="12"/>
        <v>27624.764050000002</v>
      </c>
      <c r="D52" s="235">
        <f t="shared" si="8"/>
        <v>460.41273416666672</v>
      </c>
      <c r="E52" s="235">
        <f t="shared" si="9"/>
        <v>242.32249166666665</v>
      </c>
      <c r="F52" s="236">
        <f t="shared" si="0"/>
        <v>702.7352258333334</v>
      </c>
      <c r="G52" s="238"/>
      <c r="H52" s="514"/>
      <c r="I52" s="234" t="s">
        <v>231</v>
      </c>
      <c r="J52" s="235">
        <f t="shared" si="13"/>
        <v>366.34469999999999</v>
      </c>
      <c r="K52" s="235">
        <f t="shared" si="10"/>
        <v>6.1057449999999998</v>
      </c>
      <c r="L52" s="235">
        <f t="shared" si="11"/>
        <v>3.2135499999999997</v>
      </c>
      <c r="M52" s="236">
        <f t="shared" si="1"/>
        <v>9.3192950000000003</v>
      </c>
      <c r="N52" s="236"/>
      <c r="O52" s="512"/>
      <c r="P52" s="234" t="s">
        <v>231</v>
      </c>
      <c r="Q52" s="235"/>
      <c r="R52" s="235">
        <f t="shared" si="2"/>
        <v>0</v>
      </c>
      <c r="S52" s="235"/>
      <c r="T52" s="236">
        <f t="shared" si="5"/>
        <v>0</v>
      </c>
      <c r="U52" s="236"/>
      <c r="V52" s="512"/>
      <c r="W52" s="234" t="s">
        <v>231</v>
      </c>
      <c r="X52" s="235"/>
      <c r="Y52" s="235">
        <f t="shared" si="3"/>
        <v>0</v>
      </c>
      <c r="Z52" s="235"/>
      <c r="AA52" s="236">
        <f t="shared" si="6"/>
        <v>0</v>
      </c>
      <c r="AB52" s="236"/>
      <c r="AC52" s="512"/>
      <c r="AD52" s="234" t="s">
        <v>231</v>
      </c>
      <c r="AE52" s="235"/>
      <c r="AF52" s="235">
        <f t="shared" si="4"/>
        <v>0</v>
      </c>
      <c r="AG52" s="235"/>
      <c r="AH52" s="236">
        <f t="shared" si="7"/>
        <v>0</v>
      </c>
      <c r="AI52" s="236"/>
      <c r="AK52" s="240"/>
    </row>
    <row r="53" spans="1:37" x14ac:dyDescent="0.2">
      <c r="A53" s="512"/>
      <c r="B53" s="234" t="s">
        <v>232</v>
      </c>
      <c r="C53" s="235">
        <f t="shared" si="12"/>
        <v>27382.441558333336</v>
      </c>
      <c r="D53" s="235">
        <f t="shared" si="8"/>
        <v>456.37402597222234</v>
      </c>
      <c r="E53" s="235">
        <f t="shared" si="9"/>
        <v>242.32249166666665</v>
      </c>
      <c r="F53" s="236">
        <f t="shared" si="0"/>
        <v>698.69651763888896</v>
      </c>
      <c r="G53" s="238"/>
      <c r="H53" s="514"/>
      <c r="I53" s="234" t="s">
        <v>232</v>
      </c>
      <c r="J53" s="235">
        <f t="shared" si="13"/>
        <v>363.13114999999999</v>
      </c>
      <c r="K53" s="235">
        <f t="shared" si="10"/>
        <v>6.0521858333333336</v>
      </c>
      <c r="L53" s="235">
        <f t="shared" si="11"/>
        <v>3.2135499999999997</v>
      </c>
      <c r="M53" s="236">
        <f t="shared" si="1"/>
        <v>9.2657358333333342</v>
      </c>
      <c r="N53" s="236"/>
      <c r="O53" s="512"/>
      <c r="P53" s="234" t="s">
        <v>232</v>
      </c>
      <c r="Q53" s="235"/>
      <c r="R53" s="235">
        <f t="shared" si="2"/>
        <v>0</v>
      </c>
      <c r="S53" s="235"/>
      <c r="T53" s="236">
        <f t="shared" si="5"/>
        <v>0</v>
      </c>
      <c r="U53" s="236"/>
      <c r="V53" s="512"/>
      <c r="W53" s="234" t="s">
        <v>232</v>
      </c>
      <c r="X53" s="235"/>
      <c r="Y53" s="235">
        <f t="shared" si="3"/>
        <v>0</v>
      </c>
      <c r="Z53" s="235"/>
      <c r="AA53" s="236">
        <f t="shared" si="6"/>
        <v>0</v>
      </c>
      <c r="AB53" s="236"/>
      <c r="AC53" s="512"/>
      <c r="AD53" s="234" t="s">
        <v>232</v>
      </c>
      <c r="AE53" s="235"/>
      <c r="AF53" s="235">
        <f t="shared" si="4"/>
        <v>0</v>
      </c>
      <c r="AG53" s="235"/>
      <c r="AH53" s="236">
        <f t="shared" si="7"/>
        <v>0</v>
      </c>
      <c r="AI53" s="236"/>
      <c r="AK53" s="240"/>
    </row>
    <row r="54" spans="1:37" x14ac:dyDescent="0.2">
      <c r="A54" s="512"/>
      <c r="B54" s="234" t="s">
        <v>233</v>
      </c>
      <c r="C54" s="235">
        <f t="shared" si="12"/>
        <v>27140.11906666667</v>
      </c>
      <c r="D54" s="235">
        <f t="shared" si="8"/>
        <v>452.33531777777785</v>
      </c>
      <c r="E54" s="235">
        <f t="shared" si="9"/>
        <v>242.32249166666665</v>
      </c>
      <c r="F54" s="236">
        <f t="shared" si="0"/>
        <v>694.65780944444452</v>
      </c>
      <c r="G54" s="238"/>
      <c r="H54" s="514"/>
      <c r="I54" s="234" t="s">
        <v>233</v>
      </c>
      <c r="J54" s="235">
        <f t="shared" si="13"/>
        <v>359.91759999999999</v>
      </c>
      <c r="K54" s="235">
        <f t="shared" si="10"/>
        <v>5.9986266666666666</v>
      </c>
      <c r="L54" s="235">
        <f t="shared" si="11"/>
        <v>3.2135499999999997</v>
      </c>
      <c r="M54" s="236">
        <f t="shared" si="1"/>
        <v>9.2121766666666662</v>
      </c>
      <c r="N54" s="236"/>
      <c r="O54" s="512"/>
      <c r="P54" s="234" t="s">
        <v>233</v>
      </c>
      <c r="Q54" s="235"/>
      <c r="R54" s="235">
        <f t="shared" si="2"/>
        <v>0</v>
      </c>
      <c r="S54" s="235"/>
      <c r="T54" s="236">
        <f t="shared" si="5"/>
        <v>0</v>
      </c>
      <c r="U54" s="236"/>
      <c r="V54" s="512"/>
      <c r="W54" s="234" t="s">
        <v>233</v>
      </c>
      <c r="X54" s="235"/>
      <c r="Y54" s="235">
        <f t="shared" si="3"/>
        <v>0</v>
      </c>
      <c r="Z54" s="235"/>
      <c r="AA54" s="236">
        <f t="shared" si="6"/>
        <v>0</v>
      </c>
      <c r="AB54" s="236"/>
      <c r="AC54" s="512"/>
      <c r="AD54" s="234" t="s">
        <v>233</v>
      </c>
      <c r="AE54" s="235"/>
      <c r="AF54" s="235">
        <f t="shared" si="4"/>
        <v>0</v>
      </c>
      <c r="AG54" s="235"/>
      <c r="AH54" s="236">
        <f t="shared" si="7"/>
        <v>0</v>
      </c>
      <c r="AI54" s="236"/>
      <c r="AK54" s="240"/>
    </row>
    <row r="55" spans="1:37" x14ac:dyDescent="0.2">
      <c r="A55" s="512"/>
      <c r="B55" s="234" t="s">
        <v>234</v>
      </c>
      <c r="C55" s="235">
        <f t="shared" si="12"/>
        <v>26897.796575000004</v>
      </c>
      <c r="D55" s="235">
        <f t="shared" si="8"/>
        <v>448.29660958333346</v>
      </c>
      <c r="E55" s="235">
        <f t="shared" si="9"/>
        <v>242.32249166666665</v>
      </c>
      <c r="F55" s="236">
        <f t="shared" si="0"/>
        <v>690.61910125000009</v>
      </c>
      <c r="G55" s="238"/>
      <c r="H55" s="514"/>
      <c r="I55" s="234" t="s">
        <v>234</v>
      </c>
      <c r="J55" s="235">
        <f t="shared" si="13"/>
        <v>356.70405</v>
      </c>
      <c r="K55" s="235">
        <f t="shared" si="10"/>
        <v>5.9450675000000004</v>
      </c>
      <c r="L55" s="235">
        <f t="shared" si="11"/>
        <v>3.2135499999999997</v>
      </c>
      <c r="M55" s="236">
        <f t="shared" si="1"/>
        <v>9.1586175000000001</v>
      </c>
      <c r="N55" s="236"/>
      <c r="O55" s="512"/>
      <c r="P55" s="234" t="s">
        <v>234</v>
      </c>
      <c r="Q55" s="235"/>
      <c r="R55" s="235">
        <f t="shared" si="2"/>
        <v>0</v>
      </c>
      <c r="S55" s="235"/>
      <c r="T55" s="236">
        <f t="shared" si="5"/>
        <v>0</v>
      </c>
      <c r="U55" s="236"/>
      <c r="V55" s="512"/>
      <c r="W55" s="234" t="s">
        <v>234</v>
      </c>
      <c r="X55" s="235"/>
      <c r="Y55" s="235">
        <f t="shared" si="3"/>
        <v>0</v>
      </c>
      <c r="Z55" s="235"/>
      <c r="AA55" s="236">
        <f t="shared" si="6"/>
        <v>0</v>
      </c>
      <c r="AB55" s="236"/>
      <c r="AC55" s="512"/>
      <c r="AD55" s="234" t="s">
        <v>234</v>
      </c>
      <c r="AE55" s="235"/>
      <c r="AF55" s="235">
        <f t="shared" si="4"/>
        <v>0</v>
      </c>
      <c r="AG55" s="235"/>
      <c r="AH55" s="236">
        <f t="shared" si="7"/>
        <v>0</v>
      </c>
      <c r="AI55" s="236"/>
      <c r="AK55" s="240"/>
    </row>
    <row r="56" spans="1:37" x14ac:dyDescent="0.2">
      <c r="A56" s="512"/>
      <c r="B56" s="241" t="s">
        <v>235</v>
      </c>
      <c r="C56" s="242">
        <f>C55-E55</f>
        <v>26655.474083333338</v>
      </c>
      <c r="D56" s="242">
        <f t="shared" si="8"/>
        <v>444.25790138888897</v>
      </c>
      <c r="E56" s="242">
        <f t="shared" si="9"/>
        <v>242.32249166666665</v>
      </c>
      <c r="F56" s="243">
        <f t="shared" si="0"/>
        <v>686.58039305555565</v>
      </c>
      <c r="G56" s="238"/>
      <c r="H56" s="514"/>
      <c r="I56" s="234" t="s">
        <v>235</v>
      </c>
      <c r="J56" s="235">
        <f t="shared" si="13"/>
        <v>353.4905</v>
      </c>
      <c r="K56" s="235">
        <f t="shared" si="10"/>
        <v>5.8915083333333333</v>
      </c>
      <c r="L56" s="235">
        <f t="shared" si="11"/>
        <v>3.2135499999999997</v>
      </c>
      <c r="M56" s="236">
        <f t="shared" si="1"/>
        <v>9.1050583333333321</v>
      </c>
      <c r="N56" s="236"/>
      <c r="O56" s="512"/>
      <c r="P56" s="234" t="s">
        <v>235</v>
      </c>
      <c r="Q56" s="235"/>
      <c r="R56" s="235">
        <f t="shared" si="2"/>
        <v>0</v>
      </c>
      <c r="S56" s="235"/>
      <c r="T56" s="236">
        <f t="shared" si="5"/>
        <v>0</v>
      </c>
      <c r="U56" s="236"/>
      <c r="V56" s="512"/>
      <c r="W56" s="234" t="s">
        <v>235</v>
      </c>
      <c r="X56" s="235"/>
      <c r="Y56" s="235">
        <f t="shared" si="3"/>
        <v>0</v>
      </c>
      <c r="Z56" s="235"/>
      <c r="AA56" s="236">
        <f t="shared" si="6"/>
        <v>0</v>
      </c>
      <c r="AB56" s="236"/>
      <c r="AC56" s="512"/>
      <c r="AD56" s="234" t="s">
        <v>235</v>
      </c>
      <c r="AE56" s="235"/>
      <c r="AF56" s="235">
        <f t="shared" si="4"/>
        <v>0</v>
      </c>
      <c r="AG56" s="235"/>
      <c r="AH56" s="236">
        <f t="shared" si="7"/>
        <v>0</v>
      </c>
      <c r="AI56" s="236"/>
      <c r="AK56" s="240"/>
    </row>
    <row r="57" spans="1:37" x14ac:dyDescent="0.2">
      <c r="A57" s="512"/>
      <c r="B57" s="234" t="s">
        <v>236</v>
      </c>
      <c r="C57" s="235">
        <f t="shared" si="12"/>
        <v>26413.151591666672</v>
      </c>
      <c r="D57" s="235">
        <f t="shared" si="8"/>
        <v>440.21919319444459</v>
      </c>
      <c r="E57" s="235">
        <f t="shared" si="9"/>
        <v>242.32249166666665</v>
      </c>
      <c r="F57" s="236">
        <f t="shared" si="0"/>
        <v>682.54168486111121</v>
      </c>
      <c r="G57" s="239">
        <f>SUM(D46:D57)</f>
        <v>5549.1850591666671</v>
      </c>
      <c r="H57" s="515"/>
      <c r="I57" s="234" t="s">
        <v>236</v>
      </c>
      <c r="J57" s="235">
        <f t="shared" si="13"/>
        <v>350.27695</v>
      </c>
      <c r="K57" s="235">
        <f t="shared" si="10"/>
        <v>5.8379491666666672</v>
      </c>
      <c r="L57" s="235">
        <f t="shared" si="11"/>
        <v>3.2135499999999997</v>
      </c>
      <c r="M57" s="236">
        <f t="shared" si="1"/>
        <v>9.051499166666666</v>
      </c>
      <c r="N57" s="239">
        <f>SUM(K46:K57)</f>
        <v>73.590294999999998</v>
      </c>
      <c r="O57" s="512"/>
      <c r="P57" s="234" t="s">
        <v>236</v>
      </c>
      <c r="Q57" s="235"/>
      <c r="R57" s="235">
        <f t="shared" si="2"/>
        <v>0</v>
      </c>
      <c r="S57" s="235"/>
      <c r="T57" s="236">
        <f t="shared" si="5"/>
        <v>0</v>
      </c>
      <c r="U57" s="239">
        <f>SUM(R46:R57)</f>
        <v>0</v>
      </c>
      <c r="V57" s="512"/>
      <c r="W57" s="234" t="s">
        <v>236</v>
      </c>
      <c r="X57" s="235"/>
      <c r="Y57" s="235">
        <f t="shared" si="3"/>
        <v>0</v>
      </c>
      <c r="Z57" s="235"/>
      <c r="AA57" s="236">
        <f t="shared" si="6"/>
        <v>0</v>
      </c>
      <c r="AB57" s="239">
        <f>SUM(Y46:Y57)</f>
        <v>0</v>
      </c>
      <c r="AC57" s="512"/>
      <c r="AD57" s="234" t="s">
        <v>236</v>
      </c>
      <c r="AE57" s="235"/>
      <c r="AF57" s="235">
        <f t="shared" si="4"/>
        <v>0</v>
      </c>
      <c r="AG57" s="235"/>
      <c r="AH57" s="236">
        <f t="shared" si="7"/>
        <v>0</v>
      </c>
      <c r="AI57" s="239">
        <f>SUM(AF46:AF57)</f>
        <v>0</v>
      </c>
      <c r="AJ57" s="208">
        <f>AJ45+1</f>
        <v>2025</v>
      </c>
      <c r="AK57" s="240">
        <f>G57+N57+U57+AB57+AI57</f>
        <v>5622.7753541666671</v>
      </c>
    </row>
    <row r="58" spans="1:37" x14ac:dyDescent="0.2">
      <c r="A58" s="512">
        <f>A46+1</f>
        <v>2026</v>
      </c>
      <c r="B58" s="234" t="s">
        <v>225</v>
      </c>
      <c r="C58" s="235">
        <f t="shared" si="12"/>
        <v>26170.829100000006</v>
      </c>
      <c r="D58" s="235">
        <f t="shared" si="8"/>
        <v>436.18048500000015</v>
      </c>
      <c r="E58" s="235">
        <f t="shared" si="9"/>
        <v>242.32249166666665</v>
      </c>
      <c r="F58" s="236">
        <f t="shared" si="0"/>
        <v>678.50297666666677</v>
      </c>
      <c r="G58" s="237"/>
      <c r="H58" s="513">
        <f>H46+1</f>
        <v>2026</v>
      </c>
      <c r="I58" s="234" t="s">
        <v>225</v>
      </c>
      <c r="J58" s="235">
        <f t="shared" si="13"/>
        <v>347.0634</v>
      </c>
      <c r="K58" s="235">
        <f t="shared" si="10"/>
        <v>5.784390000000001</v>
      </c>
      <c r="L58" s="235">
        <f t="shared" si="11"/>
        <v>3.2135499999999997</v>
      </c>
      <c r="M58" s="236">
        <f t="shared" si="1"/>
        <v>8.9979399999999998</v>
      </c>
      <c r="N58" s="236"/>
      <c r="O58" s="512">
        <f>O46+1</f>
        <v>2026</v>
      </c>
      <c r="P58" s="234" t="s">
        <v>225</v>
      </c>
      <c r="Q58" s="235">
        <f>Q7-Q8</f>
        <v>10258.072</v>
      </c>
      <c r="R58" s="235">
        <f t="shared" si="2"/>
        <v>170.96786666666665</v>
      </c>
      <c r="S58" s="235">
        <f t="shared" ref="S58:S121" si="14">$Q$7/R$8</f>
        <v>85.48393333333334</v>
      </c>
      <c r="T58" s="236">
        <f t="shared" si="5"/>
        <v>256.45179999999999</v>
      </c>
      <c r="U58" s="236"/>
      <c r="V58" s="512">
        <f>V46+1</f>
        <v>2025</v>
      </c>
      <c r="W58" s="234" t="s">
        <v>225</v>
      </c>
      <c r="X58" s="235"/>
      <c r="Y58" s="235">
        <f t="shared" si="3"/>
        <v>0</v>
      </c>
      <c r="Z58" s="235"/>
      <c r="AA58" s="236">
        <f t="shared" si="6"/>
        <v>0</v>
      </c>
      <c r="AB58" s="236"/>
      <c r="AC58" s="512">
        <f>AC46+1</f>
        <v>2025</v>
      </c>
      <c r="AD58" s="234" t="s">
        <v>225</v>
      </c>
      <c r="AE58" s="235"/>
      <c r="AF58" s="235">
        <f t="shared" si="4"/>
        <v>0</v>
      </c>
      <c r="AG58" s="235"/>
      <c r="AH58" s="236">
        <f t="shared" si="7"/>
        <v>0</v>
      </c>
      <c r="AI58" s="236"/>
      <c r="AK58" s="240"/>
    </row>
    <row r="59" spans="1:37" x14ac:dyDescent="0.2">
      <c r="A59" s="512"/>
      <c r="B59" s="234" t="s">
        <v>226</v>
      </c>
      <c r="C59" s="235">
        <f t="shared" si="12"/>
        <v>25928.50660833334</v>
      </c>
      <c r="D59" s="235">
        <f t="shared" si="8"/>
        <v>432.14177680555571</v>
      </c>
      <c r="E59" s="235">
        <f t="shared" si="9"/>
        <v>242.32249166666665</v>
      </c>
      <c r="F59" s="236">
        <f t="shared" si="0"/>
        <v>674.46426847222233</v>
      </c>
      <c r="G59" s="238"/>
      <c r="H59" s="514"/>
      <c r="I59" s="234" t="s">
        <v>226</v>
      </c>
      <c r="J59" s="235">
        <f t="shared" si="13"/>
        <v>343.84985</v>
      </c>
      <c r="K59" s="235">
        <f t="shared" si="10"/>
        <v>5.7308308333333331</v>
      </c>
      <c r="L59" s="235">
        <f t="shared" si="11"/>
        <v>3.2135499999999997</v>
      </c>
      <c r="M59" s="236">
        <f t="shared" si="1"/>
        <v>8.9443808333333337</v>
      </c>
      <c r="N59" s="236"/>
      <c r="O59" s="512"/>
      <c r="P59" s="234" t="s">
        <v>226</v>
      </c>
      <c r="Q59" s="235">
        <f>Q58-S58</f>
        <v>10172.588066666667</v>
      </c>
      <c r="R59" s="235">
        <f t="shared" si="2"/>
        <v>169.54313444444446</v>
      </c>
      <c r="S59" s="235">
        <f t="shared" si="14"/>
        <v>85.48393333333334</v>
      </c>
      <c r="T59" s="236">
        <f t="shared" si="5"/>
        <v>255.0270677777778</v>
      </c>
      <c r="U59" s="236"/>
      <c r="V59" s="512"/>
      <c r="W59" s="234" t="s">
        <v>226</v>
      </c>
      <c r="X59" s="235"/>
      <c r="Y59" s="235">
        <f t="shared" si="3"/>
        <v>0</v>
      </c>
      <c r="Z59" s="235"/>
      <c r="AA59" s="236">
        <f t="shared" si="6"/>
        <v>0</v>
      </c>
      <c r="AB59" s="236"/>
      <c r="AC59" s="512"/>
      <c r="AD59" s="234" t="s">
        <v>226</v>
      </c>
      <c r="AE59" s="235"/>
      <c r="AF59" s="235">
        <f t="shared" si="4"/>
        <v>0</v>
      </c>
      <c r="AG59" s="235"/>
      <c r="AH59" s="236">
        <f t="shared" si="7"/>
        <v>0</v>
      </c>
      <c r="AI59" s="236"/>
      <c r="AK59" s="240"/>
    </row>
    <row r="60" spans="1:37" x14ac:dyDescent="0.2">
      <c r="A60" s="512"/>
      <c r="B60" s="234" t="s">
        <v>227</v>
      </c>
      <c r="C60" s="235">
        <f t="shared" si="12"/>
        <v>25686.184116666675</v>
      </c>
      <c r="D60" s="235">
        <f t="shared" si="8"/>
        <v>428.10306861111127</v>
      </c>
      <c r="E60" s="235">
        <f t="shared" si="9"/>
        <v>242.32249166666665</v>
      </c>
      <c r="F60" s="236">
        <f t="shared" si="0"/>
        <v>670.42556027777789</v>
      </c>
      <c r="G60" s="238"/>
      <c r="H60" s="514"/>
      <c r="I60" s="234" t="s">
        <v>227</v>
      </c>
      <c r="J60" s="235">
        <f t="shared" si="13"/>
        <v>340.63630000000001</v>
      </c>
      <c r="K60" s="235">
        <f t="shared" si="10"/>
        <v>5.6772716666666669</v>
      </c>
      <c r="L60" s="235">
        <f t="shared" si="11"/>
        <v>3.2135499999999997</v>
      </c>
      <c r="M60" s="236">
        <f t="shared" si="1"/>
        <v>8.8908216666666675</v>
      </c>
      <c r="N60" s="236"/>
      <c r="O60" s="512"/>
      <c r="P60" s="234" t="s">
        <v>227</v>
      </c>
      <c r="Q60" s="235">
        <f t="shared" ref="Q60:Q123" si="15">Q59-S59</f>
        <v>10087.104133333334</v>
      </c>
      <c r="R60" s="235">
        <f t="shared" si="2"/>
        <v>168.11840222222224</v>
      </c>
      <c r="S60" s="235">
        <f t="shared" si="14"/>
        <v>85.48393333333334</v>
      </c>
      <c r="T60" s="236">
        <f t="shared" si="5"/>
        <v>253.60233555555558</v>
      </c>
      <c r="U60" s="236"/>
      <c r="V60" s="512"/>
      <c r="W60" s="234" t="s">
        <v>227</v>
      </c>
      <c r="X60" s="235"/>
      <c r="Y60" s="235">
        <f t="shared" si="3"/>
        <v>0</v>
      </c>
      <c r="Z60" s="235"/>
      <c r="AA60" s="236">
        <f t="shared" si="6"/>
        <v>0</v>
      </c>
      <c r="AB60" s="236"/>
      <c r="AC60" s="512"/>
      <c r="AD60" s="234" t="s">
        <v>227</v>
      </c>
      <c r="AE60" s="235"/>
      <c r="AF60" s="235">
        <f t="shared" si="4"/>
        <v>0</v>
      </c>
      <c r="AG60" s="235"/>
      <c r="AH60" s="236">
        <f t="shared" si="7"/>
        <v>0</v>
      </c>
      <c r="AI60" s="236"/>
      <c r="AK60" s="240"/>
    </row>
    <row r="61" spans="1:37" x14ac:dyDescent="0.2">
      <c r="A61" s="512"/>
      <c r="B61" s="234" t="s">
        <v>228</v>
      </c>
      <c r="C61" s="235">
        <f t="shared" si="12"/>
        <v>25443.861625000009</v>
      </c>
      <c r="D61" s="235">
        <f t="shared" si="8"/>
        <v>424.06436041666683</v>
      </c>
      <c r="E61" s="235">
        <f t="shared" si="9"/>
        <v>242.32249166666665</v>
      </c>
      <c r="F61" s="236">
        <f t="shared" si="0"/>
        <v>666.38685208333345</v>
      </c>
      <c r="G61" s="238"/>
      <c r="H61" s="514"/>
      <c r="I61" s="234" t="s">
        <v>228</v>
      </c>
      <c r="J61" s="235">
        <f t="shared" si="13"/>
        <v>337.42275000000001</v>
      </c>
      <c r="K61" s="235">
        <f t="shared" si="10"/>
        <v>5.6237124999999999</v>
      </c>
      <c r="L61" s="235">
        <f t="shared" si="11"/>
        <v>3.2135499999999997</v>
      </c>
      <c r="M61" s="236">
        <f t="shared" si="1"/>
        <v>8.8372624999999996</v>
      </c>
      <c r="N61" s="236"/>
      <c r="O61" s="512"/>
      <c r="P61" s="234" t="s">
        <v>228</v>
      </c>
      <c r="Q61" s="235">
        <f t="shared" si="15"/>
        <v>10001.620200000001</v>
      </c>
      <c r="R61" s="235">
        <f t="shared" si="2"/>
        <v>166.69367000000003</v>
      </c>
      <c r="S61" s="235">
        <f t="shared" si="14"/>
        <v>85.48393333333334</v>
      </c>
      <c r="T61" s="236">
        <f t="shared" si="5"/>
        <v>252.17760333333337</v>
      </c>
      <c r="U61" s="236"/>
      <c r="V61" s="512"/>
      <c r="W61" s="234" t="s">
        <v>228</v>
      </c>
      <c r="X61" s="235"/>
      <c r="Y61" s="235">
        <f t="shared" si="3"/>
        <v>0</v>
      </c>
      <c r="Z61" s="235"/>
      <c r="AA61" s="236">
        <f t="shared" si="6"/>
        <v>0</v>
      </c>
      <c r="AB61" s="236"/>
      <c r="AC61" s="512"/>
      <c r="AD61" s="234" t="s">
        <v>228</v>
      </c>
      <c r="AE61" s="235"/>
      <c r="AF61" s="235">
        <f t="shared" si="4"/>
        <v>0</v>
      </c>
      <c r="AG61" s="235"/>
      <c r="AH61" s="236">
        <f t="shared" si="7"/>
        <v>0</v>
      </c>
      <c r="AI61" s="236"/>
      <c r="AK61" s="240"/>
    </row>
    <row r="62" spans="1:37" x14ac:dyDescent="0.2">
      <c r="A62" s="512"/>
      <c r="B62" s="234" t="s">
        <v>229</v>
      </c>
      <c r="C62" s="235">
        <f t="shared" si="12"/>
        <v>25201.539133333343</v>
      </c>
      <c r="D62" s="235">
        <f t="shared" si="8"/>
        <v>420.02565222222239</v>
      </c>
      <c r="E62" s="235">
        <f t="shared" si="9"/>
        <v>242.32249166666665</v>
      </c>
      <c r="F62" s="236">
        <f t="shared" si="0"/>
        <v>662.34814388888901</v>
      </c>
      <c r="G62" s="238"/>
      <c r="H62" s="514"/>
      <c r="I62" s="234" t="s">
        <v>229</v>
      </c>
      <c r="J62" s="235">
        <f t="shared" si="13"/>
        <v>334.20920000000001</v>
      </c>
      <c r="K62" s="235">
        <f t="shared" si="10"/>
        <v>5.5701533333333337</v>
      </c>
      <c r="L62" s="235">
        <f t="shared" si="11"/>
        <v>3.2135499999999997</v>
      </c>
      <c r="M62" s="236">
        <f t="shared" si="1"/>
        <v>8.7837033333333334</v>
      </c>
      <c r="N62" s="236"/>
      <c r="O62" s="512"/>
      <c r="P62" s="234" t="s">
        <v>229</v>
      </c>
      <c r="Q62" s="235">
        <f t="shared" si="15"/>
        <v>9916.1362666666682</v>
      </c>
      <c r="R62" s="235">
        <f t="shared" si="2"/>
        <v>165.26893777777781</v>
      </c>
      <c r="S62" s="235">
        <f t="shared" si="14"/>
        <v>85.48393333333334</v>
      </c>
      <c r="T62" s="236">
        <f t="shared" si="5"/>
        <v>250.75287111111115</v>
      </c>
      <c r="U62" s="236"/>
      <c r="V62" s="512"/>
      <c r="W62" s="234" t="s">
        <v>229</v>
      </c>
      <c r="X62" s="235"/>
      <c r="Y62" s="235">
        <f t="shared" si="3"/>
        <v>0</v>
      </c>
      <c r="Z62" s="235"/>
      <c r="AA62" s="236">
        <f t="shared" si="6"/>
        <v>0</v>
      </c>
      <c r="AB62" s="236"/>
      <c r="AC62" s="512"/>
      <c r="AD62" s="234" t="s">
        <v>229</v>
      </c>
      <c r="AE62" s="235"/>
      <c r="AF62" s="235">
        <f t="shared" si="4"/>
        <v>0</v>
      </c>
      <c r="AG62" s="235"/>
      <c r="AH62" s="236">
        <f t="shared" si="7"/>
        <v>0</v>
      </c>
      <c r="AI62" s="236"/>
      <c r="AK62" s="240"/>
    </row>
    <row r="63" spans="1:37" x14ac:dyDescent="0.2">
      <c r="A63" s="512"/>
      <c r="B63" s="234" t="s">
        <v>230</v>
      </c>
      <c r="C63" s="235">
        <f t="shared" si="12"/>
        <v>24959.216641666677</v>
      </c>
      <c r="D63" s="235">
        <f t="shared" si="8"/>
        <v>415.98694402777801</v>
      </c>
      <c r="E63" s="235">
        <f t="shared" si="9"/>
        <v>242.32249166666665</v>
      </c>
      <c r="F63" s="236">
        <f t="shared" si="0"/>
        <v>658.30943569444469</v>
      </c>
      <c r="G63" s="238"/>
      <c r="H63" s="514"/>
      <c r="I63" s="234" t="s">
        <v>230</v>
      </c>
      <c r="J63" s="235">
        <f t="shared" si="13"/>
        <v>330.99565000000001</v>
      </c>
      <c r="K63" s="235">
        <f t="shared" si="10"/>
        <v>5.5165941666666676</v>
      </c>
      <c r="L63" s="235">
        <f t="shared" si="11"/>
        <v>3.2135499999999997</v>
      </c>
      <c r="M63" s="236">
        <f t="shared" si="1"/>
        <v>8.7301441666666673</v>
      </c>
      <c r="N63" s="236"/>
      <c r="O63" s="512"/>
      <c r="P63" s="234" t="s">
        <v>230</v>
      </c>
      <c r="Q63" s="235">
        <f t="shared" si="15"/>
        <v>9830.6523333333353</v>
      </c>
      <c r="R63" s="235">
        <f t="shared" si="2"/>
        <v>163.84420555555559</v>
      </c>
      <c r="S63" s="235">
        <f t="shared" si="14"/>
        <v>85.48393333333334</v>
      </c>
      <c r="T63" s="236">
        <f t="shared" si="5"/>
        <v>249.32813888888893</v>
      </c>
      <c r="U63" s="236"/>
      <c r="V63" s="512"/>
      <c r="W63" s="234" t="s">
        <v>230</v>
      </c>
      <c r="X63" s="235"/>
      <c r="Y63" s="235">
        <f t="shared" si="3"/>
        <v>0</v>
      </c>
      <c r="Z63" s="235"/>
      <c r="AA63" s="236">
        <f t="shared" si="6"/>
        <v>0</v>
      </c>
      <c r="AB63" s="236"/>
      <c r="AC63" s="512"/>
      <c r="AD63" s="234" t="s">
        <v>230</v>
      </c>
      <c r="AE63" s="235"/>
      <c r="AF63" s="235">
        <f t="shared" si="4"/>
        <v>0</v>
      </c>
      <c r="AG63" s="235"/>
      <c r="AH63" s="236">
        <f t="shared" si="7"/>
        <v>0</v>
      </c>
      <c r="AI63" s="236"/>
      <c r="AK63" s="240"/>
    </row>
    <row r="64" spans="1:37" x14ac:dyDescent="0.2">
      <c r="A64" s="512"/>
      <c r="B64" s="234" t="s">
        <v>231</v>
      </c>
      <c r="C64" s="235">
        <f t="shared" si="12"/>
        <v>24716.894150000011</v>
      </c>
      <c r="D64" s="235">
        <f t="shared" si="8"/>
        <v>411.94823583333351</v>
      </c>
      <c r="E64" s="235">
        <f t="shared" si="9"/>
        <v>242.32249166666665</v>
      </c>
      <c r="F64" s="236">
        <f t="shared" si="0"/>
        <v>654.27072750000013</v>
      </c>
      <c r="G64" s="238"/>
      <c r="H64" s="514"/>
      <c r="I64" s="234" t="s">
        <v>231</v>
      </c>
      <c r="J64" s="235">
        <f t="shared" si="13"/>
        <v>327.78210000000001</v>
      </c>
      <c r="K64" s="235">
        <f t="shared" si="10"/>
        <v>5.4630350000000005</v>
      </c>
      <c r="L64" s="235">
        <f t="shared" si="11"/>
        <v>3.2135499999999997</v>
      </c>
      <c r="M64" s="236">
        <f t="shared" si="1"/>
        <v>8.6765849999999993</v>
      </c>
      <c r="N64" s="236"/>
      <c r="O64" s="512"/>
      <c r="P64" s="234" t="s">
        <v>231</v>
      </c>
      <c r="Q64" s="235">
        <f t="shared" si="15"/>
        <v>9745.1684000000023</v>
      </c>
      <c r="R64" s="235">
        <f t="shared" si="2"/>
        <v>162.41947333333337</v>
      </c>
      <c r="S64" s="235">
        <f t="shared" si="14"/>
        <v>85.48393333333334</v>
      </c>
      <c r="T64" s="236">
        <f t="shared" si="5"/>
        <v>247.90340666666671</v>
      </c>
      <c r="U64" s="236"/>
      <c r="V64" s="512"/>
      <c r="W64" s="234" t="s">
        <v>231</v>
      </c>
      <c r="X64" s="235"/>
      <c r="Y64" s="235">
        <f t="shared" si="3"/>
        <v>0</v>
      </c>
      <c r="Z64" s="235"/>
      <c r="AA64" s="236">
        <f t="shared" si="6"/>
        <v>0</v>
      </c>
      <c r="AB64" s="236"/>
      <c r="AC64" s="512"/>
      <c r="AD64" s="234" t="s">
        <v>231</v>
      </c>
      <c r="AE64" s="235"/>
      <c r="AF64" s="235">
        <f t="shared" si="4"/>
        <v>0</v>
      </c>
      <c r="AG64" s="235"/>
      <c r="AH64" s="236">
        <f t="shared" si="7"/>
        <v>0</v>
      </c>
      <c r="AI64" s="236"/>
      <c r="AK64" s="240"/>
    </row>
    <row r="65" spans="1:37" x14ac:dyDescent="0.2">
      <c r="A65" s="512"/>
      <c r="B65" s="234" t="s">
        <v>232</v>
      </c>
      <c r="C65" s="235">
        <f t="shared" si="12"/>
        <v>24474.571658333345</v>
      </c>
      <c r="D65" s="235">
        <f t="shared" si="8"/>
        <v>407.90952763888913</v>
      </c>
      <c r="E65" s="235">
        <f t="shared" si="9"/>
        <v>242.32249166666665</v>
      </c>
      <c r="F65" s="236">
        <f t="shared" si="0"/>
        <v>650.23201930555581</v>
      </c>
      <c r="G65" s="238"/>
      <c r="H65" s="514"/>
      <c r="I65" s="234" t="s">
        <v>232</v>
      </c>
      <c r="J65" s="235">
        <f t="shared" si="13"/>
        <v>324.56855000000002</v>
      </c>
      <c r="K65" s="235">
        <f t="shared" si="10"/>
        <v>5.4094758333333344</v>
      </c>
      <c r="L65" s="235">
        <f t="shared" si="11"/>
        <v>3.2135499999999997</v>
      </c>
      <c r="M65" s="236">
        <f t="shared" si="1"/>
        <v>8.6230258333333332</v>
      </c>
      <c r="N65" s="236"/>
      <c r="O65" s="512"/>
      <c r="P65" s="234" t="s">
        <v>232</v>
      </c>
      <c r="Q65" s="235">
        <f t="shared" si="15"/>
        <v>9659.6844666666693</v>
      </c>
      <c r="R65" s="235">
        <f t="shared" si="2"/>
        <v>160.99474111111115</v>
      </c>
      <c r="S65" s="235">
        <f t="shared" si="14"/>
        <v>85.48393333333334</v>
      </c>
      <c r="T65" s="236">
        <f t="shared" si="5"/>
        <v>246.47867444444449</v>
      </c>
      <c r="U65" s="236"/>
      <c r="V65" s="512"/>
      <c r="W65" s="234" t="s">
        <v>232</v>
      </c>
      <c r="X65" s="235"/>
      <c r="Y65" s="235">
        <f t="shared" si="3"/>
        <v>0</v>
      </c>
      <c r="Z65" s="235"/>
      <c r="AA65" s="236">
        <f t="shared" si="6"/>
        <v>0</v>
      </c>
      <c r="AB65" s="236"/>
      <c r="AC65" s="512"/>
      <c r="AD65" s="234" t="s">
        <v>232</v>
      </c>
      <c r="AE65" s="235"/>
      <c r="AF65" s="235">
        <f t="shared" si="4"/>
        <v>0</v>
      </c>
      <c r="AG65" s="235"/>
      <c r="AH65" s="236">
        <f t="shared" si="7"/>
        <v>0</v>
      </c>
      <c r="AI65" s="236"/>
      <c r="AK65" s="240"/>
    </row>
    <row r="66" spans="1:37" x14ac:dyDescent="0.2">
      <c r="A66" s="512"/>
      <c r="B66" s="234" t="s">
        <v>233</v>
      </c>
      <c r="C66" s="235">
        <f t="shared" si="12"/>
        <v>24232.249166666679</v>
      </c>
      <c r="D66" s="235">
        <f t="shared" si="8"/>
        <v>403.87081944444463</v>
      </c>
      <c r="E66" s="235">
        <f t="shared" si="9"/>
        <v>242.32249166666665</v>
      </c>
      <c r="F66" s="236">
        <f t="shared" si="0"/>
        <v>646.19331111111126</v>
      </c>
      <c r="G66" s="238"/>
      <c r="H66" s="514"/>
      <c r="I66" s="234" t="s">
        <v>233</v>
      </c>
      <c r="J66" s="235">
        <f t="shared" si="13"/>
        <v>321.35500000000002</v>
      </c>
      <c r="K66" s="235">
        <f t="shared" si="10"/>
        <v>5.3559166666666664</v>
      </c>
      <c r="L66" s="235">
        <f t="shared" si="11"/>
        <v>3.2135499999999997</v>
      </c>
      <c r="M66" s="236">
        <f t="shared" si="1"/>
        <v>8.569466666666667</v>
      </c>
      <c r="N66" s="236"/>
      <c r="O66" s="512"/>
      <c r="P66" s="234" t="s">
        <v>233</v>
      </c>
      <c r="Q66" s="235">
        <f t="shared" si="15"/>
        <v>9574.2005333333364</v>
      </c>
      <c r="R66" s="235">
        <f t="shared" si="2"/>
        <v>159.57000888888896</v>
      </c>
      <c r="S66" s="235">
        <f t="shared" si="14"/>
        <v>85.48393333333334</v>
      </c>
      <c r="T66" s="236">
        <f t="shared" si="5"/>
        <v>245.0539422222223</v>
      </c>
      <c r="U66" s="236"/>
      <c r="V66" s="512"/>
      <c r="W66" s="234" t="s">
        <v>233</v>
      </c>
      <c r="X66" s="235"/>
      <c r="Y66" s="235">
        <f t="shared" si="3"/>
        <v>0</v>
      </c>
      <c r="Z66" s="235"/>
      <c r="AA66" s="236">
        <f t="shared" si="6"/>
        <v>0</v>
      </c>
      <c r="AB66" s="236"/>
      <c r="AC66" s="512"/>
      <c r="AD66" s="234" t="s">
        <v>233</v>
      </c>
      <c r="AE66" s="235"/>
      <c r="AF66" s="235">
        <f t="shared" si="4"/>
        <v>0</v>
      </c>
      <c r="AG66" s="235"/>
      <c r="AH66" s="236">
        <f t="shared" si="7"/>
        <v>0</v>
      </c>
      <c r="AI66" s="236"/>
      <c r="AK66" s="240"/>
    </row>
    <row r="67" spans="1:37" x14ac:dyDescent="0.2">
      <c r="A67" s="512"/>
      <c r="B67" s="234" t="s">
        <v>234</v>
      </c>
      <c r="C67" s="235">
        <f t="shared" si="12"/>
        <v>23989.926675000013</v>
      </c>
      <c r="D67" s="235">
        <f t="shared" si="8"/>
        <v>399.83211125000025</v>
      </c>
      <c r="E67" s="235">
        <f>$C$7/$D$8</f>
        <v>242.32249166666665</v>
      </c>
      <c r="F67" s="236">
        <f t="shared" si="0"/>
        <v>642.15460291666693</v>
      </c>
      <c r="G67" s="238"/>
      <c r="H67" s="514"/>
      <c r="I67" s="234" t="s">
        <v>234</v>
      </c>
      <c r="J67" s="235">
        <f t="shared" si="13"/>
        <v>318.14145000000002</v>
      </c>
      <c r="K67" s="235">
        <f t="shared" si="10"/>
        <v>5.3023575000000003</v>
      </c>
      <c r="L67" s="235">
        <f t="shared" si="11"/>
        <v>3.2135499999999997</v>
      </c>
      <c r="M67" s="236">
        <f t="shared" si="1"/>
        <v>8.5159075000000009</v>
      </c>
      <c r="N67" s="236"/>
      <c r="O67" s="512"/>
      <c r="P67" s="234" t="s">
        <v>234</v>
      </c>
      <c r="Q67" s="235">
        <f t="shared" si="15"/>
        <v>9488.7166000000034</v>
      </c>
      <c r="R67" s="235">
        <f t="shared" si="2"/>
        <v>158.14527666666672</v>
      </c>
      <c r="S67" s="235">
        <f t="shared" si="14"/>
        <v>85.48393333333334</v>
      </c>
      <c r="T67" s="236">
        <f t="shared" si="5"/>
        <v>243.62921000000006</v>
      </c>
      <c r="U67" s="236"/>
      <c r="V67" s="512"/>
      <c r="W67" s="234" t="s">
        <v>234</v>
      </c>
      <c r="X67" s="235"/>
      <c r="Y67" s="235">
        <f t="shared" si="3"/>
        <v>0</v>
      </c>
      <c r="Z67" s="235"/>
      <c r="AA67" s="236">
        <f t="shared" si="6"/>
        <v>0</v>
      </c>
      <c r="AB67" s="236"/>
      <c r="AC67" s="512"/>
      <c r="AD67" s="234" t="s">
        <v>234</v>
      </c>
      <c r="AE67" s="235"/>
      <c r="AF67" s="235">
        <f t="shared" si="4"/>
        <v>0</v>
      </c>
      <c r="AG67" s="235"/>
      <c r="AH67" s="236">
        <f t="shared" si="7"/>
        <v>0</v>
      </c>
      <c r="AI67" s="236"/>
      <c r="AK67" s="240"/>
    </row>
    <row r="68" spans="1:37" x14ac:dyDescent="0.2">
      <c r="A68" s="512"/>
      <c r="B68" s="244" t="s">
        <v>235</v>
      </c>
      <c r="C68" s="245">
        <f>C67-E67-C8</f>
        <v>12491.318183333347</v>
      </c>
      <c r="D68" s="245">
        <f>C68*$D$7/12</f>
        <v>208.18863638888914</v>
      </c>
      <c r="E68" s="245">
        <f>$C$68/($D$8-23)</f>
        <v>128.77647611683864</v>
      </c>
      <c r="F68" s="246">
        <f t="shared" si="0"/>
        <v>336.9651125057278</v>
      </c>
      <c r="G68" s="238"/>
      <c r="H68" s="514"/>
      <c r="I68" s="234" t="s">
        <v>235</v>
      </c>
      <c r="J68" s="235">
        <f t="shared" si="13"/>
        <v>314.92790000000002</v>
      </c>
      <c r="K68" s="235">
        <f t="shared" si="10"/>
        <v>5.2487983333333341</v>
      </c>
      <c r="L68" s="235">
        <f t="shared" si="11"/>
        <v>3.2135499999999997</v>
      </c>
      <c r="M68" s="236">
        <f t="shared" si="1"/>
        <v>8.4623483333333347</v>
      </c>
      <c r="N68" s="236"/>
      <c r="O68" s="512"/>
      <c r="P68" s="234" t="s">
        <v>235</v>
      </c>
      <c r="Q68" s="235">
        <f t="shared" si="15"/>
        <v>9403.2326666666704</v>
      </c>
      <c r="R68" s="235">
        <f t="shared" si="2"/>
        <v>156.72054444444453</v>
      </c>
      <c r="S68" s="235">
        <f t="shared" si="14"/>
        <v>85.48393333333334</v>
      </c>
      <c r="T68" s="236">
        <f t="shared" si="5"/>
        <v>242.20447777777787</v>
      </c>
      <c r="U68" s="236"/>
      <c r="V68" s="512"/>
      <c r="W68" s="234" t="s">
        <v>235</v>
      </c>
      <c r="X68" s="235"/>
      <c r="Y68" s="235">
        <f t="shared" si="3"/>
        <v>0</v>
      </c>
      <c r="Z68" s="235"/>
      <c r="AA68" s="236">
        <f t="shared" si="6"/>
        <v>0</v>
      </c>
      <c r="AB68" s="236"/>
      <c r="AC68" s="512"/>
      <c r="AD68" s="234" t="s">
        <v>235</v>
      </c>
      <c r="AE68" s="235"/>
      <c r="AF68" s="235">
        <f t="shared" si="4"/>
        <v>0</v>
      </c>
      <c r="AG68" s="235"/>
      <c r="AH68" s="236">
        <f t="shared" si="7"/>
        <v>0</v>
      </c>
      <c r="AI68" s="236"/>
      <c r="AK68" s="240"/>
    </row>
    <row r="69" spans="1:37" x14ac:dyDescent="0.2">
      <c r="A69" s="512"/>
      <c r="B69" s="234" t="s">
        <v>236</v>
      </c>
      <c r="C69" s="235">
        <f t="shared" si="12"/>
        <v>12362.541707216509</v>
      </c>
      <c r="D69" s="235">
        <f t="shared" si="8"/>
        <v>206.04236178694183</v>
      </c>
      <c r="E69" s="235">
        <f t="shared" ref="E69:E132" si="16">$C$68/($D$8-23)</f>
        <v>128.77647611683864</v>
      </c>
      <c r="F69" s="236">
        <f t="shared" si="0"/>
        <v>334.81883790378049</v>
      </c>
      <c r="G69" s="239">
        <f>SUM(D58:D69)</f>
        <v>4594.2939794258327</v>
      </c>
      <c r="H69" s="515"/>
      <c r="I69" s="234" t="s">
        <v>236</v>
      </c>
      <c r="J69" s="235">
        <f t="shared" si="13"/>
        <v>311.71435000000002</v>
      </c>
      <c r="K69" s="235">
        <f t="shared" si="10"/>
        <v>5.1952391666666671</v>
      </c>
      <c r="L69" s="235">
        <f t="shared" si="11"/>
        <v>3.2135499999999997</v>
      </c>
      <c r="M69" s="236">
        <f t="shared" si="1"/>
        <v>8.4087891666666668</v>
      </c>
      <c r="N69" s="239">
        <f>SUM(K58:K69)</f>
        <v>65.877774999999986</v>
      </c>
      <c r="O69" s="512"/>
      <c r="P69" s="234" t="s">
        <v>236</v>
      </c>
      <c r="Q69" s="235">
        <f t="shared" si="15"/>
        <v>9317.7487333333374</v>
      </c>
      <c r="R69" s="235">
        <f t="shared" si="2"/>
        <v>155.29581222222228</v>
      </c>
      <c r="S69" s="235">
        <f t="shared" si="14"/>
        <v>85.48393333333334</v>
      </c>
      <c r="T69" s="236">
        <f t="shared" si="5"/>
        <v>240.77974555555562</v>
      </c>
      <c r="U69" s="239">
        <f>SUM(R58:R69)</f>
        <v>1957.5820733333337</v>
      </c>
      <c r="V69" s="512"/>
      <c r="W69" s="234" t="s">
        <v>236</v>
      </c>
      <c r="X69" s="235"/>
      <c r="Y69" s="235">
        <f t="shared" si="3"/>
        <v>0</v>
      </c>
      <c r="Z69" s="235"/>
      <c r="AA69" s="236">
        <f t="shared" si="6"/>
        <v>0</v>
      </c>
      <c r="AB69" s="239">
        <f>SUM(Y58:Y69)</f>
        <v>0</v>
      </c>
      <c r="AC69" s="512"/>
      <c r="AD69" s="234" t="s">
        <v>236</v>
      </c>
      <c r="AE69" s="235"/>
      <c r="AF69" s="235">
        <f t="shared" si="4"/>
        <v>0</v>
      </c>
      <c r="AG69" s="235"/>
      <c r="AH69" s="236">
        <f t="shared" si="7"/>
        <v>0</v>
      </c>
      <c r="AI69" s="239">
        <f>SUM(AF58:AF69)</f>
        <v>0</v>
      </c>
      <c r="AJ69" s="208">
        <f>AJ57+1</f>
        <v>2026</v>
      </c>
      <c r="AK69" s="240">
        <f>G69+N69+U69+AB69+AI69</f>
        <v>6617.7538277591666</v>
      </c>
    </row>
    <row r="70" spans="1:37" x14ac:dyDescent="0.2">
      <c r="A70" s="512">
        <f>A58+1</f>
        <v>2027</v>
      </c>
      <c r="B70" s="234" t="s">
        <v>225</v>
      </c>
      <c r="C70" s="235">
        <f t="shared" si="12"/>
        <v>12233.765231099671</v>
      </c>
      <c r="D70" s="235">
        <f t="shared" si="8"/>
        <v>203.89608718499451</v>
      </c>
      <c r="E70" s="235">
        <f t="shared" si="16"/>
        <v>128.77647611683864</v>
      </c>
      <c r="F70" s="236">
        <f t="shared" si="0"/>
        <v>332.67256330183318</v>
      </c>
      <c r="G70" s="237"/>
      <c r="H70" s="513">
        <f>H58+1</f>
        <v>2027</v>
      </c>
      <c r="I70" s="234" t="s">
        <v>225</v>
      </c>
      <c r="J70" s="235">
        <f t="shared" si="13"/>
        <v>308.50080000000003</v>
      </c>
      <c r="K70" s="235">
        <f t="shared" si="10"/>
        <v>5.1416800000000009</v>
      </c>
      <c r="L70" s="235">
        <f t="shared" si="11"/>
        <v>3.2135499999999997</v>
      </c>
      <c r="M70" s="236">
        <f t="shared" si="1"/>
        <v>8.3552300000000006</v>
      </c>
      <c r="N70" s="236"/>
      <c r="O70" s="512">
        <f>O58+1</f>
        <v>2027</v>
      </c>
      <c r="P70" s="234" t="s">
        <v>225</v>
      </c>
      <c r="Q70" s="235">
        <f t="shared" si="15"/>
        <v>9232.2648000000045</v>
      </c>
      <c r="R70" s="235">
        <f t="shared" si="2"/>
        <v>153.87108000000009</v>
      </c>
      <c r="S70" s="235">
        <f t="shared" si="14"/>
        <v>85.48393333333334</v>
      </c>
      <c r="T70" s="236">
        <f t="shared" si="5"/>
        <v>239.35501333333343</v>
      </c>
      <c r="U70" s="236"/>
      <c r="V70" s="512">
        <f>V58+1</f>
        <v>2026</v>
      </c>
      <c r="W70" s="234" t="s">
        <v>225</v>
      </c>
      <c r="X70" s="235"/>
      <c r="Y70" s="235"/>
      <c r="Z70" s="235"/>
      <c r="AA70" s="236">
        <f t="shared" si="6"/>
        <v>0</v>
      </c>
      <c r="AB70" s="236"/>
      <c r="AC70" s="512">
        <f>AC58+1</f>
        <v>2026</v>
      </c>
      <c r="AD70" s="234" t="s">
        <v>225</v>
      </c>
      <c r="AE70" s="235"/>
      <c r="AF70" s="235"/>
      <c r="AG70" s="235"/>
      <c r="AH70" s="236">
        <f t="shared" si="7"/>
        <v>0</v>
      </c>
      <c r="AI70" s="236"/>
      <c r="AK70" s="240"/>
    </row>
    <row r="71" spans="1:37" x14ac:dyDescent="0.2">
      <c r="A71" s="512"/>
      <c r="B71" s="234" t="s">
        <v>226</v>
      </c>
      <c r="C71" s="235">
        <f t="shared" si="12"/>
        <v>12104.988754982833</v>
      </c>
      <c r="D71" s="235">
        <f t="shared" si="8"/>
        <v>201.7498125830472</v>
      </c>
      <c r="E71" s="235">
        <f t="shared" si="16"/>
        <v>128.77647611683864</v>
      </c>
      <c r="F71" s="236">
        <f t="shared" si="0"/>
        <v>330.52628869988587</v>
      </c>
      <c r="G71" s="238"/>
      <c r="H71" s="514"/>
      <c r="I71" s="234" t="s">
        <v>226</v>
      </c>
      <c r="J71" s="235">
        <f t="shared" si="13"/>
        <v>305.28725000000003</v>
      </c>
      <c r="K71" s="235">
        <f t="shared" si="10"/>
        <v>5.0881208333333339</v>
      </c>
      <c r="L71" s="235">
        <f t="shared" si="11"/>
        <v>3.2135499999999997</v>
      </c>
      <c r="M71" s="236">
        <f t="shared" si="1"/>
        <v>8.3016708333333327</v>
      </c>
      <c r="N71" s="236"/>
      <c r="O71" s="512"/>
      <c r="P71" s="234" t="s">
        <v>226</v>
      </c>
      <c r="Q71" s="235">
        <f t="shared" si="15"/>
        <v>9146.7808666666715</v>
      </c>
      <c r="R71" s="235">
        <f t="shared" si="2"/>
        <v>152.44634777777787</v>
      </c>
      <c r="S71" s="235">
        <f t="shared" si="14"/>
        <v>85.48393333333334</v>
      </c>
      <c r="T71" s="236">
        <f t="shared" si="5"/>
        <v>237.93028111111121</v>
      </c>
      <c r="U71" s="236"/>
      <c r="V71" s="512"/>
      <c r="W71" s="234" t="s">
        <v>226</v>
      </c>
      <c r="X71" s="235"/>
      <c r="Y71" s="235"/>
      <c r="Z71" s="235"/>
      <c r="AA71" s="236">
        <f t="shared" si="6"/>
        <v>0</v>
      </c>
      <c r="AB71" s="236"/>
      <c r="AC71" s="512"/>
      <c r="AD71" s="234" t="s">
        <v>226</v>
      </c>
      <c r="AE71" s="235"/>
      <c r="AF71" s="235"/>
      <c r="AG71" s="235"/>
      <c r="AH71" s="236">
        <f t="shared" si="7"/>
        <v>0</v>
      </c>
      <c r="AI71" s="236"/>
      <c r="AK71" s="240"/>
    </row>
    <row r="72" spans="1:37" x14ac:dyDescent="0.2">
      <c r="A72" s="512"/>
      <c r="B72" s="234" t="s">
        <v>227</v>
      </c>
      <c r="C72" s="235">
        <f t="shared" si="12"/>
        <v>11976.212278865994</v>
      </c>
      <c r="D72" s="235">
        <f t="shared" si="8"/>
        <v>199.60353798109989</v>
      </c>
      <c r="E72" s="235">
        <f t="shared" si="16"/>
        <v>128.77647611683864</v>
      </c>
      <c r="F72" s="236">
        <f t="shared" si="0"/>
        <v>328.38001409793856</v>
      </c>
      <c r="G72" s="238"/>
      <c r="H72" s="514"/>
      <c r="I72" s="234" t="s">
        <v>227</v>
      </c>
      <c r="J72" s="235">
        <f t="shared" si="13"/>
        <v>302.07370000000003</v>
      </c>
      <c r="K72" s="235">
        <f t="shared" si="10"/>
        <v>5.0345616666666677</v>
      </c>
      <c r="L72" s="235">
        <f t="shared" si="11"/>
        <v>3.2135499999999997</v>
      </c>
      <c r="M72" s="236">
        <f t="shared" si="1"/>
        <v>8.2481116666666665</v>
      </c>
      <c r="N72" s="236"/>
      <c r="O72" s="512"/>
      <c r="P72" s="234" t="s">
        <v>227</v>
      </c>
      <c r="Q72" s="235">
        <f t="shared" si="15"/>
        <v>9061.2969333333385</v>
      </c>
      <c r="R72" s="235">
        <f t="shared" si="2"/>
        <v>151.02161555555566</v>
      </c>
      <c r="S72" s="235">
        <f t="shared" si="14"/>
        <v>85.48393333333334</v>
      </c>
      <c r="T72" s="236">
        <f t="shared" si="5"/>
        <v>236.505548888889</v>
      </c>
      <c r="U72" s="236"/>
      <c r="V72" s="512"/>
      <c r="W72" s="234" t="s">
        <v>227</v>
      </c>
      <c r="X72" s="235"/>
      <c r="Y72" s="235"/>
      <c r="Z72" s="235"/>
      <c r="AA72" s="236">
        <f t="shared" si="6"/>
        <v>0</v>
      </c>
      <c r="AB72" s="236"/>
      <c r="AC72" s="512"/>
      <c r="AD72" s="234" t="s">
        <v>227</v>
      </c>
      <c r="AE72" s="235"/>
      <c r="AF72" s="235"/>
      <c r="AG72" s="235"/>
      <c r="AH72" s="236">
        <f t="shared" si="7"/>
        <v>0</v>
      </c>
      <c r="AI72" s="236"/>
      <c r="AK72" s="240"/>
    </row>
    <row r="73" spans="1:37" x14ac:dyDescent="0.2">
      <c r="A73" s="512"/>
      <c r="B73" s="234" t="s">
        <v>228</v>
      </c>
      <c r="C73" s="235">
        <f t="shared" si="12"/>
        <v>11847.435802749156</v>
      </c>
      <c r="D73" s="235">
        <f t="shared" si="8"/>
        <v>197.45726337915264</v>
      </c>
      <c r="E73" s="235">
        <f t="shared" si="16"/>
        <v>128.77647611683864</v>
      </c>
      <c r="F73" s="236">
        <f t="shared" si="0"/>
        <v>326.23373949599124</v>
      </c>
      <c r="G73" s="238"/>
      <c r="H73" s="514"/>
      <c r="I73" s="234" t="s">
        <v>228</v>
      </c>
      <c r="J73" s="235">
        <f t="shared" si="13"/>
        <v>298.86015000000003</v>
      </c>
      <c r="K73" s="235">
        <f t="shared" si="10"/>
        <v>4.9810025000000007</v>
      </c>
      <c r="L73" s="235">
        <f t="shared" si="11"/>
        <v>3.2135499999999997</v>
      </c>
      <c r="M73" s="236">
        <f t="shared" si="1"/>
        <v>8.1945525000000004</v>
      </c>
      <c r="N73" s="236"/>
      <c r="O73" s="512"/>
      <c r="P73" s="234" t="s">
        <v>228</v>
      </c>
      <c r="Q73" s="235">
        <f t="shared" si="15"/>
        <v>8975.8130000000056</v>
      </c>
      <c r="R73" s="235">
        <f t="shared" si="2"/>
        <v>149.59688333333344</v>
      </c>
      <c r="S73" s="235">
        <f t="shared" si="14"/>
        <v>85.48393333333334</v>
      </c>
      <c r="T73" s="236">
        <f t="shared" si="5"/>
        <v>235.08081666666678</v>
      </c>
      <c r="U73" s="236"/>
      <c r="V73" s="512"/>
      <c r="W73" s="234" t="s">
        <v>228</v>
      </c>
      <c r="X73" s="235"/>
      <c r="Y73" s="235"/>
      <c r="Z73" s="235"/>
      <c r="AA73" s="236">
        <f t="shared" si="6"/>
        <v>0</v>
      </c>
      <c r="AB73" s="236"/>
      <c r="AC73" s="512"/>
      <c r="AD73" s="234" t="s">
        <v>228</v>
      </c>
      <c r="AE73" s="235"/>
      <c r="AF73" s="235"/>
      <c r="AG73" s="235"/>
      <c r="AH73" s="236">
        <f t="shared" si="7"/>
        <v>0</v>
      </c>
      <c r="AI73" s="236"/>
      <c r="AK73" s="240"/>
    </row>
    <row r="74" spans="1:37" x14ac:dyDescent="0.2">
      <c r="A74" s="512"/>
      <c r="B74" s="234" t="s">
        <v>229</v>
      </c>
      <c r="C74" s="235">
        <f t="shared" si="12"/>
        <v>11718.659326632318</v>
      </c>
      <c r="D74" s="235">
        <f t="shared" si="8"/>
        <v>195.31098877720532</v>
      </c>
      <c r="E74" s="235">
        <f t="shared" si="16"/>
        <v>128.77647611683864</v>
      </c>
      <c r="F74" s="236">
        <f t="shared" si="0"/>
        <v>324.08746489404393</v>
      </c>
      <c r="G74" s="238"/>
      <c r="H74" s="514"/>
      <c r="I74" s="234" t="s">
        <v>229</v>
      </c>
      <c r="J74" s="235">
        <f t="shared" si="13"/>
        <v>295.64660000000003</v>
      </c>
      <c r="K74" s="235">
        <f t="shared" si="10"/>
        <v>4.9274433333333336</v>
      </c>
      <c r="L74" s="235">
        <f t="shared" si="11"/>
        <v>3.2135499999999997</v>
      </c>
      <c r="M74" s="236">
        <f t="shared" si="1"/>
        <v>8.1409933333333342</v>
      </c>
      <c r="N74" s="236"/>
      <c r="O74" s="512"/>
      <c r="P74" s="234" t="s">
        <v>229</v>
      </c>
      <c r="Q74" s="235">
        <f t="shared" si="15"/>
        <v>8890.3290666666726</v>
      </c>
      <c r="R74" s="235">
        <f t="shared" si="2"/>
        <v>148.17215111111122</v>
      </c>
      <c r="S74" s="235">
        <f t="shared" si="14"/>
        <v>85.48393333333334</v>
      </c>
      <c r="T74" s="236">
        <f t="shared" si="5"/>
        <v>233.65608444444456</v>
      </c>
      <c r="U74" s="236"/>
      <c r="V74" s="512"/>
      <c r="W74" s="234" t="s">
        <v>229</v>
      </c>
      <c r="X74" s="235"/>
      <c r="Y74" s="235"/>
      <c r="Z74" s="235"/>
      <c r="AA74" s="236">
        <f t="shared" si="6"/>
        <v>0</v>
      </c>
      <c r="AB74" s="236"/>
      <c r="AC74" s="512"/>
      <c r="AD74" s="234" t="s">
        <v>229</v>
      </c>
      <c r="AE74" s="235"/>
      <c r="AF74" s="235"/>
      <c r="AG74" s="235"/>
      <c r="AH74" s="236">
        <f t="shared" si="7"/>
        <v>0</v>
      </c>
      <c r="AI74" s="236"/>
      <c r="AK74" s="240"/>
    </row>
    <row r="75" spans="1:37" x14ac:dyDescent="0.2">
      <c r="A75" s="512"/>
      <c r="B75" s="234" t="s">
        <v>230</v>
      </c>
      <c r="C75" s="235">
        <f t="shared" si="12"/>
        <v>11589.88285051548</v>
      </c>
      <c r="D75" s="235">
        <f t="shared" si="8"/>
        <v>193.16471417525801</v>
      </c>
      <c r="E75" s="235">
        <f t="shared" si="16"/>
        <v>128.77647611683864</v>
      </c>
      <c r="F75" s="236">
        <f t="shared" si="0"/>
        <v>321.94119029209662</v>
      </c>
      <c r="G75" s="238"/>
      <c r="H75" s="514"/>
      <c r="I75" s="234" t="s">
        <v>230</v>
      </c>
      <c r="J75" s="235">
        <f t="shared" si="13"/>
        <v>292.43305000000004</v>
      </c>
      <c r="K75" s="235">
        <f t="shared" si="10"/>
        <v>4.8738841666666675</v>
      </c>
      <c r="L75" s="235">
        <f t="shared" si="11"/>
        <v>3.2135499999999997</v>
      </c>
      <c r="M75" s="236">
        <f t="shared" si="1"/>
        <v>8.087434166666668</v>
      </c>
      <c r="N75" s="236"/>
      <c r="O75" s="512"/>
      <c r="P75" s="234" t="s">
        <v>230</v>
      </c>
      <c r="Q75" s="235">
        <f t="shared" si="15"/>
        <v>8804.8451333333396</v>
      </c>
      <c r="R75" s="235">
        <f t="shared" si="2"/>
        <v>146.747418888889</v>
      </c>
      <c r="S75" s="235">
        <f t="shared" si="14"/>
        <v>85.48393333333334</v>
      </c>
      <c r="T75" s="236">
        <f t="shared" si="5"/>
        <v>232.23135222222234</v>
      </c>
      <c r="U75" s="236"/>
      <c r="V75" s="512"/>
      <c r="W75" s="234" t="s">
        <v>230</v>
      </c>
      <c r="X75" s="235"/>
      <c r="Y75" s="235"/>
      <c r="Z75" s="235"/>
      <c r="AA75" s="236">
        <f t="shared" si="6"/>
        <v>0</v>
      </c>
      <c r="AB75" s="236"/>
      <c r="AC75" s="512"/>
      <c r="AD75" s="234" t="s">
        <v>230</v>
      </c>
      <c r="AE75" s="235"/>
      <c r="AF75" s="235"/>
      <c r="AG75" s="235"/>
      <c r="AH75" s="236">
        <f t="shared" si="7"/>
        <v>0</v>
      </c>
      <c r="AI75" s="236"/>
      <c r="AK75" s="240"/>
    </row>
    <row r="76" spans="1:37" x14ac:dyDescent="0.2">
      <c r="A76" s="512"/>
      <c r="B76" s="234" t="s">
        <v>231</v>
      </c>
      <c r="C76" s="235">
        <f t="shared" si="12"/>
        <v>11461.106374398641</v>
      </c>
      <c r="D76" s="235">
        <f t="shared" si="8"/>
        <v>191.0184395733107</v>
      </c>
      <c r="E76" s="235">
        <f t="shared" si="16"/>
        <v>128.77647611683864</v>
      </c>
      <c r="F76" s="236">
        <f t="shared" ref="F76:F129" si="17">D76+E76</f>
        <v>319.79491569014931</v>
      </c>
      <c r="G76" s="238"/>
      <c r="H76" s="514"/>
      <c r="I76" s="234" t="s">
        <v>231</v>
      </c>
      <c r="J76" s="235">
        <f t="shared" si="13"/>
        <v>289.21950000000004</v>
      </c>
      <c r="K76" s="235">
        <f t="shared" si="10"/>
        <v>4.8203250000000013</v>
      </c>
      <c r="L76" s="235">
        <f t="shared" si="11"/>
        <v>3.2135499999999997</v>
      </c>
      <c r="M76" s="236">
        <f t="shared" si="1"/>
        <v>8.0338750000000019</v>
      </c>
      <c r="N76" s="236"/>
      <c r="O76" s="512"/>
      <c r="P76" s="234" t="s">
        <v>231</v>
      </c>
      <c r="Q76" s="235">
        <f t="shared" si="15"/>
        <v>8719.3612000000066</v>
      </c>
      <c r="R76" s="235">
        <f t="shared" si="2"/>
        <v>145.32268666666678</v>
      </c>
      <c r="S76" s="235">
        <f t="shared" si="14"/>
        <v>85.48393333333334</v>
      </c>
      <c r="T76" s="236">
        <f t="shared" si="5"/>
        <v>230.80662000000012</v>
      </c>
      <c r="U76" s="236"/>
      <c r="V76" s="512"/>
      <c r="W76" s="234" t="s">
        <v>231</v>
      </c>
      <c r="X76" s="235"/>
      <c r="Y76" s="235"/>
      <c r="Z76" s="235"/>
      <c r="AA76" s="236">
        <f t="shared" si="6"/>
        <v>0</v>
      </c>
      <c r="AB76" s="236"/>
      <c r="AC76" s="512"/>
      <c r="AD76" s="234" t="s">
        <v>231</v>
      </c>
      <c r="AE76" s="235"/>
      <c r="AF76" s="235"/>
      <c r="AG76" s="235"/>
      <c r="AH76" s="236">
        <f t="shared" si="7"/>
        <v>0</v>
      </c>
      <c r="AI76" s="236"/>
      <c r="AK76" s="240"/>
    </row>
    <row r="77" spans="1:37" x14ac:dyDescent="0.2">
      <c r="A77" s="512"/>
      <c r="B77" s="234" t="s">
        <v>232</v>
      </c>
      <c r="C77" s="235">
        <f t="shared" si="12"/>
        <v>11332.329898281803</v>
      </c>
      <c r="D77" s="235">
        <f t="shared" si="8"/>
        <v>188.87216497136339</v>
      </c>
      <c r="E77" s="235">
        <f t="shared" si="16"/>
        <v>128.77647611683864</v>
      </c>
      <c r="F77" s="236">
        <f t="shared" si="17"/>
        <v>317.648641088202</v>
      </c>
      <c r="G77" s="238"/>
      <c r="H77" s="514"/>
      <c r="I77" s="234" t="s">
        <v>232</v>
      </c>
      <c r="J77" s="235">
        <f t="shared" si="13"/>
        <v>286.00595000000004</v>
      </c>
      <c r="K77" s="235">
        <f t="shared" si="10"/>
        <v>4.7667658333333343</v>
      </c>
      <c r="L77" s="235">
        <f t="shared" si="11"/>
        <v>3.2135499999999997</v>
      </c>
      <c r="M77" s="236">
        <f t="shared" si="1"/>
        <v>7.9803158333333339</v>
      </c>
      <c r="N77" s="236"/>
      <c r="O77" s="512"/>
      <c r="P77" s="234" t="s">
        <v>232</v>
      </c>
      <c r="Q77" s="235">
        <f t="shared" si="15"/>
        <v>8633.8772666666737</v>
      </c>
      <c r="R77" s="235">
        <f t="shared" si="2"/>
        <v>143.89795444444457</v>
      </c>
      <c r="S77" s="235">
        <f t="shared" si="14"/>
        <v>85.48393333333334</v>
      </c>
      <c r="T77" s="236">
        <f t="shared" si="5"/>
        <v>229.38188777777791</v>
      </c>
      <c r="U77" s="236"/>
      <c r="V77" s="512"/>
      <c r="W77" s="234" t="s">
        <v>232</v>
      </c>
      <c r="X77" s="235"/>
      <c r="Y77" s="235"/>
      <c r="Z77" s="235"/>
      <c r="AA77" s="236">
        <f t="shared" si="6"/>
        <v>0</v>
      </c>
      <c r="AB77" s="236"/>
      <c r="AC77" s="512"/>
      <c r="AD77" s="234" t="s">
        <v>232</v>
      </c>
      <c r="AE77" s="235"/>
      <c r="AF77" s="235"/>
      <c r="AG77" s="235"/>
      <c r="AH77" s="236">
        <f t="shared" si="7"/>
        <v>0</v>
      </c>
      <c r="AI77" s="236"/>
      <c r="AK77" s="240"/>
    </row>
    <row r="78" spans="1:37" x14ac:dyDescent="0.2">
      <c r="A78" s="512"/>
      <c r="B78" s="234" t="s">
        <v>233</v>
      </c>
      <c r="C78" s="235">
        <f t="shared" si="12"/>
        <v>11203.553422164965</v>
      </c>
      <c r="D78" s="235">
        <f t="shared" si="8"/>
        <v>186.72589036941611</v>
      </c>
      <c r="E78" s="235">
        <f t="shared" si="16"/>
        <v>128.77647611683864</v>
      </c>
      <c r="F78" s="236">
        <f t="shared" si="17"/>
        <v>315.50236648625474</v>
      </c>
      <c r="G78" s="238"/>
      <c r="H78" s="514"/>
      <c r="I78" s="234" t="s">
        <v>233</v>
      </c>
      <c r="J78" s="235">
        <f t="shared" si="13"/>
        <v>282.79240000000004</v>
      </c>
      <c r="K78" s="235">
        <f t="shared" si="10"/>
        <v>4.7132066666666672</v>
      </c>
      <c r="L78" s="235">
        <f t="shared" si="11"/>
        <v>3.2135499999999997</v>
      </c>
      <c r="M78" s="236">
        <f t="shared" si="1"/>
        <v>7.9267566666666669</v>
      </c>
      <c r="N78" s="236"/>
      <c r="O78" s="512"/>
      <c r="P78" s="234" t="s">
        <v>233</v>
      </c>
      <c r="Q78" s="235">
        <f t="shared" si="15"/>
        <v>8548.3933333333407</v>
      </c>
      <c r="R78" s="235">
        <f t="shared" si="2"/>
        <v>142.47322222222235</v>
      </c>
      <c r="S78" s="235">
        <f t="shared" si="14"/>
        <v>85.48393333333334</v>
      </c>
      <c r="T78" s="236">
        <f t="shared" si="5"/>
        <v>227.95715555555569</v>
      </c>
      <c r="U78" s="236"/>
      <c r="V78" s="512"/>
      <c r="W78" s="234" t="s">
        <v>233</v>
      </c>
      <c r="X78" s="235"/>
      <c r="Y78" s="235"/>
      <c r="Z78" s="235"/>
      <c r="AA78" s="236">
        <f t="shared" si="6"/>
        <v>0</v>
      </c>
      <c r="AB78" s="236"/>
      <c r="AC78" s="512"/>
      <c r="AD78" s="234" t="s">
        <v>233</v>
      </c>
      <c r="AE78" s="235"/>
      <c r="AF78" s="235"/>
      <c r="AG78" s="235"/>
      <c r="AH78" s="236">
        <f t="shared" si="7"/>
        <v>0</v>
      </c>
      <c r="AI78" s="236"/>
      <c r="AK78" s="240"/>
    </row>
    <row r="79" spans="1:37" x14ac:dyDescent="0.2">
      <c r="A79" s="512"/>
      <c r="B79" s="234" t="s">
        <v>234</v>
      </c>
      <c r="C79" s="235">
        <f t="shared" si="12"/>
        <v>11074.776946048127</v>
      </c>
      <c r="D79" s="235">
        <f t="shared" si="8"/>
        <v>184.57961576746879</v>
      </c>
      <c r="E79" s="235">
        <f t="shared" si="16"/>
        <v>128.77647611683864</v>
      </c>
      <c r="F79" s="236">
        <f t="shared" si="17"/>
        <v>313.35609188430743</v>
      </c>
      <c r="G79" s="238"/>
      <c r="H79" s="514"/>
      <c r="I79" s="234" t="s">
        <v>234</v>
      </c>
      <c r="J79" s="235">
        <f t="shared" si="13"/>
        <v>279.57885000000005</v>
      </c>
      <c r="K79" s="235">
        <f t="shared" si="10"/>
        <v>4.6596475000000011</v>
      </c>
      <c r="L79" s="235">
        <f t="shared" si="11"/>
        <v>3.2135499999999997</v>
      </c>
      <c r="M79" s="236">
        <f t="shared" si="1"/>
        <v>7.8731975000000007</v>
      </c>
      <c r="N79" s="236"/>
      <c r="O79" s="512"/>
      <c r="P79" s="234" t="s">
        <v>234</v>
      </c>
      <c r="Q79" s="235">
        <f t="shared" si="15"/>
        <v>8462.9094000000077</v>
      </c>
      <c r="R79" s="235">
        <f t="shared" si="2"/>
        <v>141.04849000000013</v>
      </c>
      <c r="S79" s="235">
        <f t="shared" si="14"/>
        <v>85.48393333333334</v>
      </c>
      <c r="T79" s="236">
        <f t="shared" si="5"/>
        <v>226.53242333333347</v>
      </c>
      <c r="U79" s="236"/>
      <c r="V79" s="512"/>
      <c r="W79" s="234" t="s">
        <v>234</v>
      </c>
      <c r="X79" s="235"/>
      <c r="Y79" s="235"/>
      <c r="Z79" s="235"/>
      <c r="AA79" s="236">
        <f t="shared" si="6"/>
        <v>0</v>
      </c>
      <c r="AB79" s="236"/>
      <c r="AC79" s="512"/>
      <c r="AD79" s="234" t="s">
        <v>234</v>
      </c>
      <c r="AE79" s="235"/>
      <c r="AF79" s="235"/>
      <c r="AG79" s="235"/>
      <c r="AH79" s="236">
        <f t="shared" si="7"/>
        <v>0</v>
      </c>
      <c r="AI79" s="236"/>
      <c r="AK79" s="240"/>
    </row>
    <row r="80" spans="1:37" x14ac:dyDescent="0.2">
      <c r="A80" s="512"/>
      <c r="B80" s="234" t="s">
        <v>235</v>
      </c>
      <c r="C80" s="235">
        <f t="shared" si="12"/>
        <v>10946.000469931289</v>
      </c>
      <c r="D80" s="235">
        <f t="shared" si="8"/>
        <v>182.43334116552148</v>
      </c>
      <c r="E80" s="235">
        <f t="shared" si="16"/>
        <v>128.77647611683864</v>
      </c>
      <c r="F80" s="236">
        <f t="shared" si="17"/>
        <v>311.20981728236012</v>
      </c>
      <c r="G80" s="238"/>
      <c r="H80" s="514"/>
      <c r="I80" s="234" t="s">
        <v>235</v>
      </c>
      <c r="J80" s="235">
        <f t="shared" si="13"/>
        <v>276.36530000000005</v>
      </c>
      <c r="K80" s="235">
        <f t="shared" si="10"/>
        <v>4.6060883333333349</v>
      </c>
      <c r="L80" s="235">
        <f t="shared" si="11"/>
        <v>3.2135499999999997</v>
      </c>
      <c r="M80" s="236">
        <f t="shared" si="1"/>
        <v>7.8196383333333346</v>
      </c>
      <c r="N80" s="236"/>
      <c r="O80" s="512"/>
      <c r="P80" s="234" t="s">
        <v>235</v>
      </c>
      <c r="Q80" s="235">
        <f t="shared" si="15"/>
        <v>8377.4254666666748</v>
      </c>
      <c r="R80" s="235">
        <f t="shared" si="2"/>
        <v>139.62375777777791</v>
      </c>
      <c r="S80" s="235">
        <f t="shared" si="14"/>
        <v>85.48393333333334</v>
      </c>
      <c r="T80" s="236">
        <f t="shared" si="5"/>
        <v>225.10769111111125</v>
      </c>
      <c r="U80" s="236"/>
      <c r="V80" s="512"/>
      <c r="W80" s="234" t="s">
        <v>235</v>
      </c>
      <c r="X80" s="235"/>
      <c r="Y80" s="235"/>
      <c r="Z80" s="235"/>
      <c r="AA80" s="236">
        <f t="shared" si="6"/>
        <v>0</v>
      </c>
      <c r="AB80" s="236"/>
      <c r="AC80" s="512"/>
      <c r="AD80" s="234" t="s">
        <v>235</v>
      </c>
      <c r="AE80" s="235"/>
      <c r="AF80" s="235"/>
      <c r="AG80" s="235"/>
      <c r="AH80" s="236">
        <f t="shared" si="7"/>
        <v>0</v>
      </c>
      <c r="AI80" s="236"/>
      <c r="AK80" s="240"/>
    </row>
    <row r="81" spans="1:37" x14ac:dyDescent="0.2">
      <c r="A81" s="512"/>
      <c r="B81" s="234" t="s">
        <v>236</v>
      </c>
      <c r="C81" s="235">
        <f t="shared" si="12"/>
        <v>10817.22399381445</v>
      </c>
      <c r="D81" s="235">
        <f t="shared" si="8"/>
        <v>180.28706656357417</v>
      </c>
      <c r="E81" s="235">
        <f t="shared" si="16"/>
        <v>128.77647611683864</v>
      </c>
      <c r="F81" s="236">
        <f t="shared" si="17"/>
        <v>309.06354268041281</v>
      </c>
      <c r="G81" s="239">
        <f>SUM(D70:D81)</f>
        <v>2305.0989224914119</v>
      </c>
      <c r="H81" s="515"/>
      <c r="I81" s="234" t="s">
        <v>236</v>
      </c>
      <c r="J81" s="235">
        <f t="shared" si="13"/>
        <v>273.15175000000005</v>
      </c>
      <c r="K81" s="235">
        <f t="shared" si="10"/>
        <v>4.5525291666666678</v>
      </c>
      <c r="L81" s="235">
        <f t="shared" si="11"/>
        <v>3.2135499999999997</v>
      </c>
      <c r="M81" s="236">
        <f t="shared" si="1"/>
        <v>7.7660791666666675</v>
      </c>
      <c r="N81" s="239">
        <f>SUM(K70:K81)</f>
        <v>58.165255000000002</v>
      </c>
      <c r="O81" s="512"/>
      <c r="P81" s="234" t="s">
        <v>236</v>
      </c>
      <c r="Q81" s="235">
        <f t="shared" si="15"/>
        <v>8291.9415333333418</v>
      </c>
      <c r="R81" s="235">
        <f t="shared" si="2"/>
        <v>138.19902555555572</v>
      </c>
      <c r="S81" s="235">
        <f t="shared" si="14"/>
        <v>85.48393333333334</v>
      </c>
      <c r="T81" s="236">
        <f t="shared" si="5"/>
        <v>223.68295888888906</v>
      </c>
      <c r="U81" s="239">
        <f>SUM(R70:R81)</f>
        <v>1752.4206333333348</v>
      </c>
      <c r="V81" s="512"/>
      <c r="W81" s="234" t="s">
        <v>236</v>
      </c>
      <c r="X81" s="235"/>
      <c r="Y81" s="235"/>
      <c r="Z81" s="235"/>
      <c r="AA81" s="236">
        <f t="shared" si="6"/>
        <v>0</v>
      </c>
      <c r="AB81" s="239">
        <f>SUM(Y70:Y81)</f>
        <v>0</v>
      </c>
      <c r="AC81" s="512"/>
      <c r="AD81" s="234" t="s">
        <v>236</v>
      </c>
      <c r="AE81" s="235"/>
      <c r="AF81" s="235"/>
      <c r="AG81" s="235"/>
      <c r="AH81" s="236">
        <f t="shared" si="7"/>
        <v>0</v>
      </c>
      <c r="AI81" s="239">
        <f>SUM(AF70:AF81)</f>
        <v>0</v>
      </c>
      <c r="AJ81" s="208">
        <f>AJ69+1</f>
        <v>2027</v>
      </c>
      <c r="AK81" s="240">
        <f>G81+N81+U81+AB81+AI81</f>
        <v>4115.6848108247468</v>
      </c>
    </row>
    <row r="82" spans="1:37" x14ac:dyDescent="0.2">
      <c r="A82" s="512">
        <f>A70+1</f>
        <v>2028</v>
      </c>
      <c r="B82" s="234" t="s">
        <v>225</v>
      </c>
      <c r="C82" s="235">
        <f t="shared" si="12"/>
        <v>10688.447517697612</v>
      </c>
      <c r="D82" s="235">
        <f t="shared" si="8"/>
        <v>178.14079196162686</v>
      </c>
      <c r="E82" s="235">
        <f t="shared" si="16"/>
        <v>128.77647611683864</v>
      </c>
      <c r="F82" s="236">
        <f t="shared" si="17"/>
        <v>306.9172680784655</v>
      </c>
      <c r="G82" s="237"/>
      <c r="H82" s="513">
        <f>H70+1</f>
        <v>2028</v>
      </c>
      <c r="I82" s="234" t="s">
        <v>225</v>
      </c>
      <c r="J82" s="235">
        <f t="shared" si="13"/>
        <v>269.93820000000005</v>
      </c>
      <c r="K82" s="235">
        <f t="shared" si="10"/>
        <v>4.4989700000000008</v>
      </c>
      <c r="L82" s="235">
        <f t="shared" si="11"/>
        <v>3.2135499999999997</v>
      </c>
      <c r="M82" s="236">
        <f t="shared" si="1"/>
        <v>7.7125200000000005</v>
      </c>
      <c r="N82" s="236"/>
      <c r="O82" s="512">
        <f>O70+1</f>
        <v>2028</v>
      </c>
      <c r="P82" s="234" t="s">
        <v>225</v>
      </c>
      <c r="Q82" s="235">
        <f t="shared" si="15"/>
        <v>8206.4576000000088</v>
      </c>
      <c r="R82" s="235">
        <f t="shared" si="2"/>
        <v>136.77429333333347</v>
      </c>
      <c r="S82" s="235">
        <f t="shared" si="14"/>
        <v>85.48393333333334</v>
      </c>
      <c r="T82" s="236">
        <f t="shared" si="5"/>
        <v>222.25822666666681</v>
      </c>
      <c r="U82" s="236"/>
      <c r="V82" s="512">
        <f>V70+1</f>
        <v>2027</v>
      </c>
      <c r="W82" s="234" t="s">
        <v>225</v>
      </c>
      <c r="X82" s="235"/>
      <c r="Y82" s="235"/>
      <c r="Z82" s="235"/>
      <c r="AA82" s="236">
        <f t="shared" si="6"/>
        <v>0</v>
      </c>
      <c r="AB82" s="236"/>
      <c r="AC82" s="512">
        <f>AC70+1</f>
        <v>2027</v>
      </c>
      <c r="AD82" s="234" t="s">
        <v>225</v>
      </c>
      <c r="AE82" s="235"/>
      <c r="AF82" s="235"/>
      <c r="AG82" s="235"/>
      <c r="AH82" s="236">
        <f t="shared" si="7"/>
        <v>0</v>
      </c>
      <c r="AI82" s="236"/>
      <c r="AK82" s="240"/>
    </row>
    <row r="83" spans="1:37" x14ac:dyDescent="0.2">
      <c r="A83" s="512"/>
      <c r="B83" s="234" t="s">
        <v>226</v>
      </c>
      <c r="C83" s="235">
        <f t="shared" si="12"/>
        <v>10559.671041580774</v>
      </c>
      <c r="D83" s="235">
        <f t="shared" si="8"/>
        <v>175.99451735967958</v>
      </c>
      <c r="E83" s="235">
        <f t="shared" si="16"/>
        <v>128.77647611683864</v>
      </c>
      <c r="F83" s="236">
        <f t="shared" si="17"/>
        <v>304.77099347651824</v>
      </c>
      <c r="G83" s="238"/>
      <c r="H83" s="514"/>
      <c r="I83" s="234" t="s">
        <v>226</v>
      </c>
      <c r="J83" s="235">
        <f t="shared" si="13"/>
        <v>266.72465000000005</v>
      </c>
      <c r="K83" s="235">
        <f t="shared" si="10"/>
        <v>4.4454108333333346</v>
      </c>
      <c r="L83" s="235">
        <f t="shared" si="11"/>
        <v>3.2135499999999997</v>
      </c>
      <c r="M83" s="236">
        <f t="shared" si="1"/>
        <v>7.6589608333333343</v>
      </c>
      <c r="N83" s="236"/>
      <c r="O83" s="512"/>
      <c r="P83" s="234" t="s">
        <v>226</v>
      </c>
      <c r="Q83" s="235">
        <f t="shared" si="15"/>
        <v>8120.9736666666759</v>
      </c>
      <c r="R83" s="235">
        <f t="shared" si="2"/>
        <v>135.34956111111129</v>
      </c>
      <c r="S83" s="235">
        <f t="shared" si="14"/>
        <v>85.48393333333334</v>
      </c>
      <c r="T83" s="236">
        <f t="shared" si="5"/>
        <v>220.83349444444463</v>
      </c>
      <c r="U83" s="236"/>
      <c r="V83" s="512"/>
      <c r="W83" s="234" t="s">
        <v>226</v>
      </c>
      <c r="X83" s="235"/>
      <c r="Y83" s="235"/>
      <c r="Z83" s="235"/>
      <c r="AA83" s="236">
        <f t="shared" si="6"/>
        <v>0</v>
      </c>
      <c r="AB83" s="236"/>
      <c r="AC83" s="512"/>
      <c r="AD83" s="234" t="s">
        <v>226</v>
      </c>
      <c r="AE83" s="235"/>
      <c r="AF83" s="235"/>
      <c r="AG83" s="235"/>
      <c r="AH83" s="236">
        <f t="shared" si="7"/>
        <v>0</v>
      </c>
      <c r="AI83" s="236"/>
      <c r="AK83" s="240"/>
    </row>
    <row r="84" spans="1:37" x14ac:dyDescent="0.2">
      <c r="A84" s="512"/>
      <c r="B84" s="234" t="s">
        <v>227</v>
      </c>
      <c r="C84" s="235">
        <f t="shared" si="12"/>
        <v>10430.894565463936</v>
      </c>
      <c r="D84" s="235">
        <f t="shared" si="8"/>
        <v>173.84824275773227</v>
      </c>
      <c r="E84" s="235">
        <f t="shared" si="16"/>
        <v>128.77647611683864</v>
      </c>
      <c r="F84" s="236">
        <f t="shared" si="17"/>
        <v>302.62471887457093</v>
      </c>
      <c r="G84" s="238"/>
      <c r="H84" s="514"/>
      <c r="I84" s="234" t="s">
        <v>227</v>
      </c>
      <c r="J84" s="235">
        <f t="shared" si="13"/>
        <v>263.51110000000006</v>
      </c>
      <c r="K84" s="235">
        <f t="shared" si="10"/>
        <v>4.3918516666666676</v>
      </c>
      <c r="L84" s="235">
        <f t="shared" si="11"/>
        <v>3.2135499999999997</v>
      </c>
      <c r="M84" s="236">
        <f t="shared" si="1"/>
        <v>7.6054016666666673</v>
      </c>
      <c r="N84" s="236"/>
      <c r="O84" s="512"/>
      <c r="P84" s="234" t="s">
        <v>227</v>
      </c>
      <c r="Q84" s="235">
        <f t="shared" si="15"/>
        <v>8035.4897333333429</v>
      </c>
      <c r="R84" s="235">
        <f t="shared" si="2"/>
        <v>133.92482888888904</v>
      </c>
      <c r="S84" s="235">
        <f t="shared" si="14"/>
        <v>85.48393333333334</v>
      </c>
      <c r="T84" s="236">
        <f t="shared" si="5"/>
        <v>219.40876222222238</v>
      </c>
      <c r="U84" s="236"/>
      <c r="V84" s="512"/>
      <c r="W84" s="234" t="s">
        <v>227</v>
      </c>
      <c r="X84" s="235"/>
      <c r="Y84" s="235"/>
      <c r="Z84" s="235"/>
      <c r="AA84" s="236">
        <f t="shared" si="6"/>
        <v>0</v>
      </c>
      <c r="AB84" s="236"/>
      <c r="AC84" s="512"/>
      <c r="AD84" s="234" t="s">
        <v>227</v>
      </c>
      <c r="AE84" s="235"/>
      <c r="AF84" s="235"/>
      <c r="AG84" s="235"/>
      <c r="AH84" s="236">
        <f t="shared" si="7"/>
        <v>0</v>
      </c>
      <c r="AI84" s="236"/>
      <c r="AK84" s="240"/>
    </row>
    <row r="85" spans="1:37" x14ac:dyDescent="0.2">
      <c r="A85" s="512"/>
      <c r="B85" s="234" t="s">
        <v>228</v>
      </c>
      <c r="C85" s="235">
        <f t="shared" si="12"/>
        <v>10302.118089347097</v>
      </c>
      <c r="D85" s="235">
        <f t="shared" si="8"/>
        <v>171.70196815578495</v>
      </c>
      <c r="E85" s="235">
        <f t="shared" si="16"/>
        <v>128.77647611683864</v>
      </c>
      <c r="F85" s="236">
        <f t="shared" si="17"/>
        <v>300.47844427262362</v>
      </c>
      <c r="G85" s="238"/>
      <c r="H85" s="514"/>
      <c r="I85" s="234" t="s">
        <v>228</v>
      </c>
      <c r="J85" s="235">
        <f t="shared" si="13"/>
        <v>260.29755000000006</v>
      </c>
      <c r="K85" s="235">
        <f t="shared" si="10"/>
        <v>4.3382925000000014</v>
      </c>
      <c r="L85" s="235">
        <f t="shared" si="11"/>
        <v>3.2135499999999997</v>
      </c>
      <c r="M85" s="236">
        <f t="shared" si="1"/>
        <v>7.5518425000000011</v>
      </c>
      <c r="N85" s="236"/>
      <c r="O85" s="512"/>
      <c r="P85" s="234" t="s">
        <v>228</v>
      </c>
      <c r="Q85" s="235">
        <f t="shared" si="15"/>
        <v>7950.0058000000099</v>
      </c>
      <c r="R85" s="235">
        <f t="shared" si="2"/>
        <v>132.50009666666685</v>
      </c>
      <c r="S85" s="235">
        <f t="shared" si="14"/>
        <v>85.48393333333334</v>
      </c>
      <c r="T85" s="236">
        <f t="shared" si="5"/>
        <v>217.98403000000019</v>
      </c>
      <c r="U85" s="236"/>
      <c r="V85" s="512"/>
      <c r="W85" s="234" t="s">
        <v>228</v>
      </c>
      <c r="X85" s="235"/>
      <c r="Y85" s="235"/>
      <c r="Z85" s="235"/>
      <c r="AA85" s="236">
        <f t="shared" si="6"/>
        <v>0</v>
      </c>
      <c r="AB85" s="236"/>
      <c r="AC85" s="512"/>
      <c r="AD85" s="234" t="s">
        <v>228</v>
      </c>
      <c r="AE85" s="235"/>
      <c r="AF85" s="235"/>
      <c r="AG85" s="235"/>
      <c r="AH85" s="236">
        <f t="shared" si="7"/>
        <v>0</v>
      </c>
      <c r="AI85" s="236"/>
      <c r="AK85" s="240"/>
    </row>
    <row r="86" spans="1:37" x14ac:dyDescent="0.2">
      <c r="A86" s="512"/>
      <c r="B86" s="234" t="s">
        <v>229</v>
      </c>
      <c r="C86" s="235">
        <f t="shared" si="12"/>
        <v>10173.341613230259</v>
      </c>
      <c r="D86" s="235">
        <f t="shared" si="8"/>
        <v>169.55569355383764</v>
      </c>
      <c r="E86" s="235">
        <f t="shared" si="16"/>
        <v>128.77647611683864</v>
      </c>
      <c r="F86" s="236">
        <f t="shared" si="17"/>
        <v>298.33216967067631</v>
      </c>
      <c r="G86" s="238"/>
      <c r="H86" s="514"/>
      <c r="I86" s="234" t="s">
        <v>229</v>
      </c>
      <c r="J86" s="235">
        <f t="shared" si="13"/>
        <v>257.08400000000006</v>
      </c>
      <c r="K86" s="235">
        <f t="shared" si="10"/>
        <v>4.2847333333333344</v>
      </c>
      <c r="L86" s="235">
        <f t="shared" si="11"/>
        <v>3.2135499999999997</v>
      </c>
      <c r="M86" s="236">
        <f t="shared" si="1"/>
        <v>7.4982833333333341</v>
      </c>
      <c r="N86" s="236"/>
      <c r="O86" s="512"/>
      <c r="P86" s="234" t="s">
        <v>229</v>
      </c>
      <c r="Q86" s="235">
        <f t="shared" si="15"/>
        <v>7864.5218666666769</v>
      </c>
      <c r="R86" s="235">
        <f t="shared" si="2"/>
        <v>131.07536444444463</v>
      </c>
      <c r="S86" s="235">
        <f t="shared" si="14"/>
        <v>85.48393333333334</v>
      </c>
      <c r="T86" s="236">
        <f t="shared" si="5"/>
        <v>216.55929777777797</v>
      </c>
      <c r="U86" s="236"/>
      <c r="V86" s="512"/>
      <c r="W86" s="234" t="s">
        <v>229</v>
      </c>
      <c r="X86" s="235"/>
      <c r="Y86" s="235"/>
      <c r="Z86" s="235"/>
      <c r="AA86" s="236">
        <f t="shared" si="6"/>
        <v>0</v>
      </c>
      <c r="AB86" s="236"/>
      <c r="AC86" s="512"/>
      <c r="AD86" s="234" t="s">
        <v>229</v>
      </c>
      <c r="AE86" s="235"/>
      <c r="AF86" s="235"/>
      <c r="AG86" s="235"/>
      <c r="AH86" s="236">
        <f t="shared" si="7"/>
        <v>0</v>
      </c>
      <c r="AI86" s="236"/>
      <c r="AK86" s="240"/>
    </row>
    <row r="87" spans="1:37" x14ac:dyDescent="0.2">
      <c r="A87" s="512"/>
      <c r="B87" s="234" t="s">
        <v>230</v>
      </c>
      <c r="C87" s="235">
        <f t="shared" si="12"/>
        <v>10044.565137113421</v>
      </c>
      <c r="D87" s="235">
        <f t="shared" si="8"/>
        <v>167.40941895189036</v>
      </c>
      <c r="E87" s="235">
        <f t="shared" si="16"/>
        <v>128.77647611683864</v>
      </c>
      <c r="F87" s="236">
        <f t="shared" si="17"/>
        <v>296.185895068729</v>
      </c>
      <c r="G87" s="238"/>
      <c r="H87" s="514"/>
      <c r="I87" s="234" t="s">
        <v>230</v>
      </c>
      <c r="J87" s="235">
        <f t="shared" si="13"/>
        <v>253.87045000000006</v>
      </c>
      <c r="K87" s="235">
        <f t="shared" si="10"/>
        <v>4.2311741666666682</v>
      </c>
      <c r="L87" s="235">
        <f t="shared" si="11"/>
        <v>3.2135499999999997</v>
      </c>
      <c r="M87" s="236">
        <f t="shared" ref="M87:M150" si="18">K87+L87</f>
        <v>7.4447241666666679</v>
      </c>
      <c r="N87" s="236"/>
      <c r="O87" s="512"/>
      <c r="P87" s="234" t="s">
        <v>230</v>
      </c>
      <c r="Q87" s="235">
        <f t="shared" si="15"/>
        <v>7779.037933333344</v>
      </c>
      <c r="R87" s="235">
        <f t="shared" si="2"/>
        <v>129.65063222222241</v>
      </c>
      <c r="S87" s="235">
        <f t="shared" si="14"/>
        <v>85.48393333333334</v>
      </c>
      <c r="T87" s="236">
        <f t="shared" si="5"/>
        <v>215.13456555555575</v>
      </c>
      <c r="U87" s="236"/>
      <c r="V87" s="512"/>
      <c r="W87" s="234" t="s">
        <v>230</v>
      </c>
      <c r="X87" s="235"/>
      <c r="Y87" s="235"/>
      <c r="Z87" s="235"/>
      <c r="AA87" s="236">
        <f t="shared" si="6"/>
        <v>0</v>
      </c>
      <c r="AB87" s="236"/>
      <c r="AC87" s="512"/>
      <c r="AD87" s="234" t="s">
        <v>230</v>
      </c>
      <c r="AE87" s="235"/>
      <c r="AF87" s="235"/>
      <c r="AG87" s="235"/>
      <c r="AH87" s="236">
        <f t="shared" si="7"/>
        <v>0</v>
      </c>
      <c r="AI87" s="236"/>
      <c r="AK87" s="240"/>
    </row>
    <row r="88" spans="1:37" x14ac:dyDescent="0.2">
      <c r="A88" s="512"/>
      <c r="B88" s="234" t="s">
        <v>231</v>
      </c>
      <c r="C88" s="235">
        <f t="shared" si="12"/>
        <v>9915.7886609965826</v>
      </c>
      <c r="D88" s="235">
        <f t="shared" si="8"/>
        <v>165.26314434994305</v>
      </c>
      <c r="E88" s="235">
        <f t="shared" si="16"/>
        <v>128.77647611683864</v>
      </c>
      <c r="F88" s="236">
        <f t="shared" si="17"/>
        <v>294.03962046678168</v>
      </c>
      <c r="G88" s="238"/>
      <c r="H88" s="514"/>
      <c r="I88" s="234" t="s">
        <v>231</v>
      </c>
      <c r="J88" s="235">
        <f t="shared" si="13"/>
        <v>250.65690000000006</v>
      </c>
      <c r="K88" s="235">
        <f t="shared" si="10"/>
        <v>4.1776150000000012</v>
      </c>
      <c r="L88" s="235">
        <f t="shared" si="11"/>
        <v>3.2135499999999997</v>
      </c>
      <c r="M88" s="236">
        <f t="shared" si="18"/>
        <v>7.3911650000000009</v>
      </c>
      <c r="N88" s="236"/>
      <c r="O88" s="512"/>
      <c r="P88" s="234" t="s">
        <v>231</v>
      </c>
      <c r="Q88" s="235">
        <f t="shared" si="15"/>
        <v>7693.554000000011</v>
      </c>
      <c r="R88" s="235">
        <f t="shared" si="2"/>
        <v>128.22590000000019</v>
      </c>
      <c r="S88" s="235">
        <f t="shared" si="14"/>
        <v>85.48393333333334</v>
      </c>
      <c r="T88" s="236">
        <f t="shared" si="5"/>
        <v>213.70983333333353</v>
      </c>
      <c r="U88" s="236"/>
      <c r="V88" s="512"/>
      <c r="W88" s="234" t="s">
        <v>231</v>
      </c>
      <c r="X88" s="235"/>
      <c r="Y88" s="235"/>
      <c r="Z88" s="235"/>
      <c r="AA88" s="236">
        <f t="shared" si="6"/>
        <v>0</v>
      </c>
      <c r="AB88" s="236"/>
      <c r="AC88" s="512"/>
      <c r="AD88" s="234" t="s">
        <v>231</v>
      </c>
      <c r="AE88" s="235"/>
      <c r="AF88" s="235"/>
      <c r="AG88" s="235"/>
      <c r="AH88" s="236">
        <f t="shared" si="7"/>
        <v>0</v>
      </c>
      <c r="AI88" s="236"/>
      <c r="AK88" s="240"/>
    </row>
    <row r="89" spans="1:37" x14ac:dyDescent="0.2">
      <c r="A89" s="512"/>
      <c r="B89" s="234" t="s">
        <v>232</v>
      </c>
      <c r="C89" s="235">
        <f t="shared" si="12"/>
        <v>9787.0121848797444</v>
      </c>
      <c r="D89" s="235">
        <f t="shared" si="8"/>
        <v>163.11686974799576</v>
      </c>
      <c r="E89" s="235">
        <f t="shared" si="16"/>
        <v>128.77647611683864</v>
      </c>
      <c r="F89" s="236">
        <f t="shared" si="17"/>
        <v>291.89334586483437</v>
      </c>
      <c r="G89" s="238"/>
      <c r="H89" s="514"/>
      <c r="I89" s="234" t="s">
        <v>232</v>
      </c>
      <c r="J89" s="235">
        <f t="shared" si="13"/>
        <v>247.44335000000007</v>
      </c>
      <c r="K89" s="235">
        <f t="shared" si="10"/>
        <v>4.1240558333333341</v>
      </c>
      <c r="L89" s="235">
        <f t="shared" si="11"/>
        <v>3.2135499999999997</v>
      </c>
      <c r="M89" s="236">
        <f t="shared" si="18"/>
        <v>7.3376058333333338</v>
      </c>
      <c r="N89" s="236"/>
      <c r="O89" s="512"/>
      <c r="P89" s="234" t="s">
        <v>232</v>
      </c>
      <c r="Q89" s="235">
        <f t="shared" si="15"/>
        <v>7608.070066666678</v>
      </c>
      <c r="R89" s="235">
        <f t="shared" si="2"/>
        <v>126.80116777777796</v>
      </c>
      <c r="S89" s="235">
        <f t="shared" si="14"/>
        <v>85.48393333333334</v>
      </c>
      <c r="T89" s="236">
        <f t="shared" si="5"/>
        <v>212.28510111111132</v>
      </c>
      <c r="U89" s="236"/>
      <c r="V89" s="512"/>
      <c r="W89" s="234" t="s">
        <v>232</v>
      </c>
      <c r="X89" s="235"/>
      <c r="Y89" s="235"/>
      <c r="Z89" s="235"/>
      <c r="AA89" s="236">
        <f t="shared" si="6"/>
        <v>0</v>
      </c>
      <c r="AB89" s="236"/>
      <c r="AC89" s="512"/>
      <c r="AD89" s="234" t="s">
        <v>232</v>
      </c>
      <c r="AE89" s="235"/>
      <c r="AF89" s="235"/>
      <c r="AG89" s="235"/>
      <c r="AH89" s="236">
        <f t="shared" si="7"/>
        <v>0</v>
      </c>
      <c r="AI89" s="236"/>
      <c r="AK89" s="240"/>
    </row>
    <row r="90" spans="1:37" x14ac:dyDescent="0.2">
      <c r="A90" s="512"/>
      <c r="B90" s="234" t="s">
        <v>233</v>
      </c>
      <c r="C90" s="235">
        <f t="shared" si="12"/>
        <v>9658.2357087629061</v>
      </c>
      <c r="D90" s="235">
        <f t="shared" si="8"/>
        <v>160.97059514604845</v>
      </c>
      <c r="E90" s="235">
        <f t="shared" si="16"/>
        <v>128.77647611683864</v>
      </c>
      <c r="F90" s="236">
        <f t="shared" si="17"/>
        <v>289.74707126288706</v>
      </c>
      <c r="G90" s="238"/>
      <c r="H90" s="514"/>
      <c r="I90" s="234" t="s">
        <v>233</v>
      </c>
      <c r="J90" s="235">
        <f t="shared" si="13"/>
        <v>244.22980000000007</v>
      </c>
      <c r="K90" s="235">
        <f t="shared" si="10"/>
        <v>4.070496666666668</v>
      </c>
      <c r="L90" s="235">
        <f t="shared" si="11"/>
        <v>3.2135499999999997</v>
      </c>
      <c r="M90" s="236">
        <f t="shared" si="18"/>
        <v>7.2840466666666677</v>
      </c>
      <c r="N90" s="236"/>
      <c r="O90" s="512"/>
      <c r="P90" s="234" t="s">
        <v>233</v>
      </c>
      <c r="Q90" s="235">
        <f t="shared" si="15"/>
        <v>7522.5861333333451</v>
      </c>
      <c r="R90" s="235">
        <f t="shared" si="2"/>
        <v>125.37643555555576</v>
      </c>
      <c r="S90" s="235">
        <f t="shared" si="14"/>
        <v>85.48393333333334</v>
      </c>
      <c r="T90" s="236">
        <f t="shared" si="5"/>
        <v>210.8603688888891</v>
      </c>
      <c r="U90" s="236"/>
      <c r="V90" s="512"/>
      <c r="W90" s="234" t="s">
        <v>233</v>
      </c>
      <c r="X90" s="235"/>
      <c r="Y90" s="235"/>
      <c r="Z90" s="235"/>
      <c r="AA90" s="236">
        <f t="shared" si="6"/>
        <v>0</v>
      </c>
      <c r="AB90" s="236"/>
      <c r="AC90" s="512"/>
      <c r="AD90" s="234" t="s">
        <v>233</v>
      </c>
      <c r="AE90" s="235"/>
      <c r="AF90" s="235"/>
      <c r="AG90" s="235"/>
      <c r="AH90" s="236">
        <f t="shared" si="7"/>
        <v>0</v>
      </c>
      <c r="AI90" s="236"/>
      <c r="AK90" s="240"/>
    </row>
    <row r="91" spans="1:37" x14ac:dyDescent="0.2">
      <c r="A91" s="512"/>
      <c r="B91" s="234" t="s">
        <v>234</v>
      </c>
      <c r="C91" s="235">
        <f t="shared" si="12"/>
        <v>9529.4592326460679</v>
      </c>
      <c r="D91" s="235">
        <f t="shared" si="8"/>
        <v>158.82432054410114</v>
      </c>
      <c r="E91" s="235">
        <f t="shared" si="16"/>
        <v>128.77647611683864</v>
      </c>
      <c r="F91" s="236">
        <f t="shared" si="17"/>
        <v>287.60079666093975</v>
      </c>
      <c r="G91" s="238"/>
      <c r="H91" s="514"/>
      <c r="I91" s="234" t="s">
        <v>234</v>
      </c>
      <c r="J91" s="235">
        <f t="shared" si="13"/>
        <v>241.01625000000007</v>
      </c>
      <c r="K91" s="235">
        <f t="shared" si="10"/>
        <v>4.0169375000000018</v>
      </c>
      <c r="L91" s="235">
        <f t="shared" si="11"/>
        <v>3.2135499999999997</v>
      </c>
      <c r="M91" s="236">
        <f t="shared" si="18"/>
        <v>7.2304875000000015</v>
      </c>
      <c r="N91" s="236"/>
      <c r="O91" s="512"/>
      <c r="P91" s="234" t="s">
        <v>234</v>
      </c>
      <c r="Q91" s="235">
        <f t="shared" si="15"/>
        <v>7437.1022000000121</v>
      </c>
      <c r="R91" s="235">
        <f t="shared" si="2"/>
        <v>123.95170333333355</v>
      </c>
      <c r="S91" s="235">
        <f t="shared" si="14"/>
        <v>85.48393333333334</v>
      </c>
      <c r="T91" s="236">
        <f t="shared" si="5"/>
        <v>209.43563666666688</v>
      </c>
      <c r="U91" s="236"/>
      <c r="V91" s="512"/>
      <c r="W91" s="234" t="s">
        <v>234</v>
      </c>
      <c r="X91" s="235"/>
      <c r="Y91" s="235"/>
      <c r="Z91" s="235"/>
      <c r="AA91" s="236">
        <f t="shared" si="6"/>
        <v>0</v>
      </c>
      <c r="AB91" s="236"/>
      <c r="AC91" s="512"/>
      <c r="AD91" s="234" t="s">
        <v>234</v>
      </c>
      <c r="AE91" s="235"/>
      <c r="AF91" s="235"/>
      <c r="AG91" s="235"/>
      <c r="AH91" s="236">
        <f t="shared" si="7"/>
        <v>0</v>
      </c>
      <c r="AI91" s="236"/>
      <c r="AK91" s="240"/>
    </row>
    <row r="92" spans="1:37" x14ac:dyDescent="0.2">
      <c r="A92" s="512"/>
      <c r="B92" s="234" t="s">
        <v>235</v>
      </c>
      <c r="C92" s="235">
        <f t="shared" si="12"/>
        <v>9400.6827565292297</v>
      </c>
      <c r="D92" s="235">
        <f t="shared" si="8"/>
        <v>156.67804594215383</v>
      </c>
      <c r="E92" s="235">
        <f t="shared" si="16"/>
        <v>128.77647611683864</v>
      </c>
      <c r="F92" s="236">
        <f t="shared" si="17"/>
        <v>285.45452205899244</v>
      </c>
      <c r="G92" s="238"/>
      <c r="H92" s="514"/>
      <c r="I92" s="234" t="s">
        <v>235</v>
      </c>
      <c r="J92" s="235">
        <f t="shared" si="13"/>
        <v>237.80270000000007</v>
      </c>
      <c r="K92" s="235">
        <f t="shared" si="10"/>
        <v>3.9633783333333348</v>
      </c>
      <c r="L92" s="235">
        <f t="shared" si="11"/>
        <v>3.2135499999999997</v>
      </c>
      <c r="M92" s="236">
        <f t="shared" si="18"/>
        <v>7.1769283333333345</v>
      </c>
      <c r="N92" s="236"/>
      <c r="O92" s="512"/>
      <c r="P92" s="234" t="s">
        <v>235</v>
      </c>
      <c r="Q92" s="235">
        <f t="shared" si="15"/>
        <v>7351.6182666666791</v>
      </c>
      <c r="R92" s="235">
        <f t="shared" si="2"/>
        <v>122.52697111111132</v>
      </c>
      <c r="S92" s="235">
        <f t="shared" si="14"/>
        <v>85.48393333333334</v>
      </c>
      <c r="T92" s="236">
        <f t="shared" si="5"/>
        <v>208.01090444444466</v>
      </c>
      <c r="U92" s="236"/>
      <c r="V92" s="512"/>
      <c r="W92" s="234" t="s">
        <v>235</v>
      </c>
      <c r="X92" s="235"/>
      <c r="Y92" s="235"/>
      <c r="Z92" s="235"/>
      <c r="AA92" s="236">
        <f t="shared" si="6"/>
        <v>0</v>
      </c>
      <c r="AB92" s="236"/>
      <c r="AC92" s="512"/>
      <c r="AD92" s="234" t="s">
        <v>235</v>
      </c>
      <c r="AE92" s="235"/>
      <c r="AF92" s="235"/>
      <c r="AG92" s="235"/>
      <c r="AH92" s="236">
        <f t="shared" si="7"/>
        <v>0</v>
      </c>
      <c r="AI92" s="236"/>
      <c r="AK92" s="240"/>
    </row>
    <row r="93" spans="1:37" x14ac:dyDescent="0.2">
      <c r="A93" s="512"/>
      <c r="B93" s="234" t="s">
        <v>236</v>
      </c>
      <c r="C93" s="235">
        <f t="shared" si="12"/>
        <v>9271.9062804123914</v>
      </c>
      <c r="D93" s="235">
        <f t="shared" si="8"/>
        <v>154.53177134020652</v>
      </c>
      <c r="E93" s="235">
        <f t="shared" si="16"/>
        <v>128.77647611683864</v>
      </c>
      <c r="F93" s="236">
        <f t="shared" si="17"/>
        <v>283.30824745704513</v>
      </c>
      <c r="G93" s="239">
        <f>SUM(D82:D93)</f>
        <v>1996.0353798110002</v>
      </c>
      <c r="H93" s="515"/>
      <c r="I93" s="234" t="s">
        <v>236</v>
      </c>
      <c r="J93" s="235">
        <f t="shared" si="13"/>
        <v>234.58915000000007</v>
      </c>
      <c r="K93" s="235">
        <f t="shared" si="10"/>
        <v>3.9098191666666682</v>
      </c>
      <c r="L93" s="235">
        <f t="shared" si="11"/>
        <v>3.2135499999999997</v>
      </c>
      <c r="M93" s="236">
        <f t="shared" si="18"/>
        <v>7.1233691666666683</v>
      </c>
      <c r="N93" s="239">
        <f>SUM(K82:K93)</f>
        <v>50.452735000000018</v>
      </c>
      <c r="O93" s="512"/>
      <c r="P93" s="234" t="s">
        <v>236</v>
      </c>
      <c r="Q93" s="235">
        <f t="shared" si="15"/>
        <v>7266.1343333333461</v>
      </c>
      <c r="R93" s="235">
        <f t="shared" si="2"/>
        <v>121.10223888888912</v>
      </c>
      <c r="S93" s="235">
        <f t="shared" si="14"/>
        <v>85.48393333333334</v>
      </c>
      <c r="T93" s="236">
        <f t="shared" si="5"/>
        <v>206.58617222222244</v>
      </c>
      <c r="U93" s="239">
        <f>SUM(R82:R93)</f>
        <v>1547.2591933333356</v>
      </c>
      <c r="V93" s="512"/>
      <c r="W93" s="234" t="s">
        <v>236</v>
      </c>
      <c r="X93" s="235"/>
      <c r="Y93" s="235"/>
      <c r="Z93" s="235"/>
      <c r="AA93" s="236">
        <f t="shared" si="6"/>
        <v>0</v>
      </c>
      <c r="AB93" s="239">
        <f>SUM(Y82:Y93)</f>
        <v>0</v>
      </c>
      <c r="AC93" s="512"/>
      <c r="AD93" s="234" t="s">
        <v>236</v>
      </c>
      <c r="AE93" s="235"/>
      <c r="AF93" s="235"/>
      <c r="AG93" s="235"/>
      <c r="AH93" s="236">
        <f t="shared" si="7"/>
        <v>0</v>
      </c>
      <c r="AI93" s="239">
        <f>SUM(AF82:AF93)</f>
        <v>0</v>
      </c>
      <c r="AJ93" s="208">
        <f>AJ81+1</f>
        <v>2028</v>
      </c>
      <c r="AK93" s="240">
        <f>G93+N93+U93+AB93+AI93</f>
        <v>3593.7473081443359</v>
      </c>
    </row>
    <row r="94" spans="1:37" x14ac:dyDescent="0.2">
      <c r="A94" s="512">
        <f>A82+1</f>
        <v>2029</v>
      </c>
      <c r="B94" s="234" t="s">
        <v>225</v>
      </c>
      <c r="C94" s="235">
        <f t="shared" si="12"/>
        <v>9143.1298042955532</v>
      </c>
      <c r="D94" s="235">
        <f t="shared" si="8"/>
        <v>152.38549673825923</v>
      </c>
      <c r="E94" s="235">
        <f t="shared" si="16"/>
        <v>128.77647611683864</v>
      </c>
      <c r="F94" s="236">
        <f t="shared" si="17"/>
        <v>281.16197285509787</v>
      </c>
      <c r="G94" s="237"/>
      <c r="H94" s="513">
        <f>H82+1</f>
        <v>2029</v>
      </c>
      <c r="I94" s="234" t="s">
        <v>225</v>
      </c>
      <c r="J94" s="235">
        <f t="shared" si="13"/>
        <v>231.37560000000008</v>
      </c>
      <c r="K94" s="235">
        <f t="shared" si="10"/>
        <v>3.8562600000000011</v>
      </c>
      <c r="L94" s="235">
        <f t="shared" si="11"/>
        <v>3.2135499999999997</v>
      </c>
      <c r="M94" s="236">
        <f t="shared" si="18"/>
        <v>7.0698100000000004</v>
      </c>
      <c r="N94" s="236"/>
      <c r="O94" s="512">
        <f>O82+1</f>
        <v>2029</v>
      </c>
      <c r="P94" s="234" t="s">
        <v>225</v>
      </c>
      <c r="Q94" s="235">
        <f t="shared" si="15"/>
        <v>7180.6504000000132</v>
      </c>
      <c r="R94" s="235">
        <f t="shared" si="2"/>
        <v>119.67750666666689</v>
      </c>
      <c r="S94" s="235">
        <f t="shared" si="14"/>
        <v>85.48393333333334</v>
      </c>
      <c r="T94" s="236">
        <f t="shared" si="5"/>
        <v>205.16144000000023</v>
      </c>
      <c r="U94" s="236"/>
      <c r="V94" s="512">
        <f>V82+1</f>
        <v>2028</v>
      </c>
      <c r="W94" s="234" t="s">
        <v>225</v>
      </c>
      <c r="X94" s="235"/>
      <c r="Y94" s="235"/>
      <c r="Z94" s="235"/>
      <c r="AA94" s="236">
        <f t="shared" si="6"/>
        <v>0</v>
      </c>
      <c r="AB94" s="236"/>
      <c r="AC94" s="512">
        <f>AC82+1</f>
        <v>2028</v>
      </c>
      <c r="AD94" s="234" t="s">
        <v>225</v>
      </c>
      <c r="AE94" s="235"/>
      <c r="AF94" s="235"/>
      <c r="AG94" s="235"/>
      <c r="AH94" s="236">
        <f t="shared" si="7"/>
        <v>0</v>
      </c>
      <c r="AI94" s="236"/>
      <c r="AK94" s="240"/>
    </row>
    <row r="95" spans="1:37" x14ac:dyDescent="0.2">
      <c r="A95" s="512"/>
      <c r="B95" s="234" t="s">
        <v>226</v>
      </c>
      <c r="C95" s="235">
        <f t="shared" si="12"/>
        <v>9014.3533281787149</v>
      </c>
      <c r="D95" s="235">
        <f t="shared" si="8"/>
        <v>150.23922213631192</v>
      </c>
      <c r="E95" s="235">
        <f t="shared" si="16"/>
        <v>128.77647611683864</v>
      </c>
      <c r="F95" s="236">
        <f t="shared" si="17"/>
        <v>279.01569825315056</v>
      </c>
      <c r="G95" s="238"/>
      <c r="H95" s="514"/>
      <c r="I95" s="234" t="s">
        <v>226</v>
      </c>
      <c r="J95" s="235">
        <f t="shared" si="13"/>
        <v>228.16205000000008</v>
      </c>
      <c r="K95" s="235">
        <f t="shared" si="10"/>
        <v>3.802700833333335</v>
      </c>
      <c r="L95" s="235">
        <f t="shared" si="11"/>
        <v>3.2135499999999997</v>
      </c>
      <c r="M95" s="236">
        <f t="shared" si="18"/>
        <v>7.0162508333333342</v>
      </c>
      <c r="N95" s="236"/>
      <c r="O95" s="512"/>
      <c r="P95" s="234" t="s">
        <v>226</v>
      </c>
      <c r="Q95" s="235">
        <f t="shared" si="15"/>
        <v>7095.1664666666802</v>
      </c>
      <c r="R95" s="235">
        <f t="shared" si="2"/>
        <v>118.25277444444468</v>
      </c>
      <c r="S95" s="235">
        <f t="shared" si="14"/>
        <v>85.48393333333334</v>
      </c>
      <c r="T95" s="236">
        <f t="shared" si="5"/>
        <v>203.73670777777801</v>
      </c>
      <c r="U95" s="236"/>
      <c r="V95" s="512"/>
      <c r="W95" s="234" t="s">
        <v>226</v>
      </c>
      <c r="X95" s="235"/>
      <c r="Y95" s="235"/>
      <c r="Z95" s="235"/>
      <c r="AA95" s="236">
        <f t="shared" si="6"/>
        <v>0</v>
      </c>
      <c r="AB95" s="236"/>
      <c r="AC95" s="512"/>
      <c r="AD95" s="234" t="s">
        <v>226</v>
      </c>
      <c r="AE95" s="235"/>
      <c r="AF95" s="235"/>
      <c r="AG95" s="235"/>
      <c r="AH95" s="236">
        <f t="shared" si="7"/>
        <v>0</v>
      </c>
      <c r="AI95" s="236"/>
      <c r="AK95" s="240"/>
    </row>
    <row r="96" spans="1:37" x14ac:dyDescent="0.2">
      <c r="A96" s="512"/>
      <c r="B96" s="234" t="s">
        <v>227</v>
      </c>
      <c r="C96" s="235">
        <f t="shared" si="12"/>
        <v>8885.5768520618767</v>
      </c>
      <c r="D96" s="235">
        <f t="shared" si="8"/>
        <v>148.09294753436461</v>
      </c>
      <c r="E96" s="235">
        <f t="shared" si="16"/>
        <v>128.77647611683864</v>
      </c>
      <c r="F96" s="236">
        <f t="shared" si="17"/>
        <v>276.86942365120325</v>
      </c>
      <c r="G96" s="238"/>
      <c r="H96" s="514"/>
      <c r="I96" s="234" t="s">
        <v>227</v>
      </c>
      <c r="J96" s="235">
        <f t="shared" si="13"/>
        <v>224.94850000000008</v>
      </c>
      <c r="K96" s="235">
        <f t="shared" si="10"/>
        <v>3.7491416666666684</v>
      </c>
      <c r="L96" s="235">
        <f t="shared" si="11"/>
        <v>3.2135499999999997</v>
      </c>
      <c r="M96" s="236">
        <f t="shared" si="18"/>
        <v>6.9626916666666681</v>
      </c>
      <c r="N96" s="236"/>
      <c r="O96" s="512"/>
      <c r="P96" s="234" t="s">
        <v>227</v>
      </c>
      <c r="Q96" s="235">
        <f t="shared" si="15"/>
        <v>7009.6825333333472</v>
      </c>
      <c r="R96" s="235">
        <f t="shared" si="2"/>
        <v>116.82804222222246</v>
      </c>
      <c r="S96" s="235">
        <f t="shared" si="14"/>
        <v>85.48393333333334</v>
      </c>
      <c r="T96" s="236">
        <f t="shared" si="5"/>
        <v>202.31197555555582</v>
      </c>
      <c r="U96" s="236"/>
      <c r="V96" s="512"/>
      <c r="W96" s="234" t="s">
        <v>227</v>
      </c>
      <c r="X96" s="235"/>
      <c r="Y96" s="235"/>
      <c r="Z96" s="235"/>
      <c r="AA96" s="236">
        <f t="shared" si="6"/>
        <v>0</v>
      </c>
      <c r="AB96" s="236"/>
      <c r="AC96" s="512"/>
      <c r="AD96" s="234" t="s">
        <v>227</v>
      </c>
      <c r="AE96" s="235"/>
      <c r="AF96" s="235"/>
      <c r="AG96" s="235"/>
      <c r="AH96" s="236">
        <f t="shared" si="7"/>
        <v>0</v>
      </c>
      <c r="AI96" s="236"/>
      <c r="AK96" s="240"/>
    </row>
    <row r="97" spans="1:37" x14ac:dyDescent="0.2">
      <c r="A97" s="512"/>
      <c r="B97" s="234" t="s">
        <v>228</v>
      </c>
      <c r="C97" s="235">
        <f t="shared" si="12"/>
        <v>8756.8003759450385</v>
      </c>
      <c r="D97" s="235">
        <f t="shared" si="8"/>
        <v>145.94667293241733</v>
      </c>
      <c r="E97" s="235">
        <f t="shared" si="16"/>
        <v>128.77647611683864</v>
      </c>
      <c r="F97" s="236">
        <f t="shared" si="17"/>
        <v>274.72314904925599</v>
      </c>
      <c r="G97" s="238"/>
      <c r="H97" s="514"/>
      <c r="I97" s="234" t="s">
        <v>228</v>
      </c>
      <c r="J97" s="235">
        <f t="shared" si="13"/>
        <v>221.73495000000008</v>
      </c>
      <c r="K97" s="235">
        <f t="shared" si="10"/>
        <v>3.6955825000000018</v>
      </c>
      <c r="L97" s="235">
        <f t="shared" si="11"/>
        <v>3.2135499999999997</v>
      </c>
      <c r="M97" s="236">
        <f t="shared" si="18"/>
        <v>6.9091325000000019</v>
      </c>
      <c r="N97" s="236"/>
      <c r="O97" s="512"/>
      <c r="P97" s="234" t="s">
        <v>228</v>
      </c>
      <c r="Q97" s="235">
        <f t="shared" si="15"/>
        <v>6924.1986000000143</v>
      </c>
      <c r="R97" s="235">
        <f t="shared" si="2"/>
        <v>115.40331000000025</v>
      </c>
      <c r="S97" s="235">
        <f t="shared" si="14"/>
        <v>85.48393333333334</v>
      </c>
      <c r="T97" s="236">
        <f t="shared" si="5"/>
        <v>200.88724333333357</v>
      </c>
      <c r="U97" s="236"/>
      <c r="V97" s="512"/>
      <c r="W97" s="234" t="s">
        <v>228</v>
      </c>
      <c r="X97" s="235"/>
      <c r="Y97" s="235"/>
      <c r="Z97" s="235"/>
      <c r="AA97" s="236">
        <f t="shared" si="6"/>
        <v>0</v>
      </c>
      <c r="AB97" s="236"/>
      <c r="AC97" s="512"/>
      <c r="AD97" s="234" t="s">
        <v>228</v>
      </c>
      <c r="AE97" s="235"/>
      <c r="AF97" s="235"/>
      <c r="AG97" s="235"/>
      <c r="AH97" s="236">
        <f t="shared" si="7"/>
        <v>0</v>
      </c>
      <c r="AI97" s="236"/>
      <c r="AK97" s="240"/>
    </row>
    <row r="98" spans="1:37" x14ac:dyDescent="0.2">
      <c r="A98" s="512"/>
      <c r="B98" s="234" t="s">
        <v>229</v>
      </c>
      <c r="C98" s="235">
        <f t="shared" si="12"/>
        <v>8628.0238998282002</v>
      </c>
      <c r="D98" s="235">
        <f t="shared" si="8"/>
        <v>143.80039833047002</v>
      </c>
      <c r="E98" s="235">
        <f t="shared" si="16"/>
        <v>128.77647611683864</v>
      </c>
      <c r="F98" s="236">
        <f t="shared" si="17"/>
        <v>272.57687444730868</v>
      </c>
      <c r="G98" s="238"/>
      <c r="H98" s="514"/>
      <c r="I98" s="234" t="s">
        <v>229</v>
      </c>
      <c r="J98" s="235">
        <f t="shared" si="13"/>
        <v>218.52140000000009</v>
      </c>
      <c r="K98" s="235">
        <f t="shared" si="10"/>
        <v>3.6420233333333347</v>
      </c>
      <c r="L98" s="235">
        <f t="shared" si="11"/>
        <v>3.2135499999999997</v>
      </c>
      <c r="M98" s="236">
        <f t="shared" si="18"/>
        <v>6.855573333333334</v>
      </c>
      <c r="N98" s="236"/>
      <c r="O98" s="512"/>
      <c r="P98" s="234" t="s">
        <v>229</v>
      </c>
      <c r="Q98" s="235">
        <f t="shared" si="15"/>
        <v>6838.7146666666813</v>
      </c>
      <c r="R98" s="235">
        <f t="shared" si="2"/>
        <v>113.97857777777803</v>
      </c>
      <c r="S98" s="235">
        <f t="shared" si="14"/>
        <v>85.48393333333334</v>
      </c>
      <c r="T98" s="236">
        <f t="shared" si="5"/>
        <v>199.46251111111138</v>
      </c>
      <c r="U98" s="236"/>
      <c r="V98" s="512"/>
      <c r="W98" s="234" t="s">
        <v>229</v>
      </c>
      <c r="X98" s="235"/>
      <c r="Y98" s="235"/>
      <c r="Z98" s="235"/>
      <c r="AA98" s="236">
        <f t="shared" si="6"/>
        <v>0</v>
      </c>
      <c r="AB98" s="236"/>
      <c r="AC98" s="512"/>
      <c r="AD98" s="234" t="s">
        <v>229</v>
      </c>
      <c r="AE98" s="235"/>
      <c r="AF98" s="235"/>
      <c r="AG98" s="235"/>
      <c r="AH98" s="236">
        <f t="shared" si="7"/>
        <v>0</v>
      </c>
      <c r="AI98" s="236"/>
      <c r="AK98" s="240"/>
    </row>
    <row r="99" spans="1:37" x14ac:dyDescent="0.2">
      <c r="A99" s="512"/>
      <c r="B99" s="234" t="s">
        <v>230</v>
      </c>
      <c r="C99" s="235">
        <f t="shared" si="12"/>
        <v>8499.247423711362</v>
      </c>
      <c r="D99" s="235">
        <f t="shared" si="8"/>
        <v>141.65412372852271</v>
      </c>
      <c r="E99" s="235">
        <f t="shared" si="16"/>
        <v>128.77647611683864</v>
      </c>
      <c r="F99" s="236">
        <f t="shared" si="17"/>
        <v>270.43059984536137</v>
      </c>
      <c r="G99" s="238"/>
      <c r="H99" s="514"/>
      <c r="I99" s="234" t="s">
        <v>230</v>
      </c>
      <c r="J99" s="235">
        <f t="shared" si="13"/>
        <v>215.30785000000009</v>
      </c>
      <c r="K99" s="235">
        <f t="shared" si="10"/>
        <v>3.5884641666666681</v>
      </c>
      <c r="L99" s="235">
        <f t="shared" si="11"/>
        <v>3.2135499999999997</v>
      </c>
      <c r="M99" s="236">
        <f t="shared" si="18"/>
        <v>6.8020141666666678</v>
      </c>
      <c r="N99" s="236"/>
      <c r="O99" s="512"/>
      <c r="P99" s="234" t="s">
        <v>230</v>
      </c>
      <c r="Q99" s="235">
        <f t="shared" si="15"/>
        <v>6753.2307333333483</v>
      </c>
      <c r="R99" s="235">
        <f t="shared" ref="R99:R162" si="19">Q99*$D$7/12</f>
        <v>112.55384555555581</v>
      </c>
      <c r="S99" s="235">
        <f t="shared" si="14"/>
        <v>85.48393333333334</v>
      </c>
      <c r="T99" s="236">
        <f t="shared" si="5"/>
        <v>198.03777888888914</v>
      </c>
      <c r="U99" s="236"/>
      <c r="V99" s="512"/>
      <c r="W99" s="234" t="s">
        <v>230</v>
      </c>
      <c r="X99" s="235"/>
      <c r="Y99" s="235"/>
      <c r="Z99" s="235"/>
      <c r="AA99" s="236">
        <f t="shared" si="6"/>
        <v>0</v>
      </c>
      <c r="AB99" s="236"/>
      <c r="AC99" s="512"/>
      <c r="AD99" s="234" t="s">
        <v>230</v>
      </c>
      <c r="AE99" s="235"/>
      <c r="AF99" s="235"/>
      <c r="AG99" s="235"/>
      <c r="AH99" s="236">
        <f t="shared" si="7"/>
        <v>0</v>
      </c>
      <c r="AI99" s="236"/>
      <c r="AK99" s="240"/>
    </row>
    <row r="100" spans="1:37" x14ac:dyDescent="0.2">
      <c r="A100" s="512"/>
      <c r="B100" s="234" t="s">
        <v>231</v>
      </c>
      <c r="C100" s="235">
        <f t="shared" si="12"/>
        <v>8370.4709475945238</v>
      </c>
      <c r="D100" s="235">
        <f t="shared" si="8"/>
        <v>139.50784912657539</v>
      </c>
      <c r="E100" s="235">
        <f t="shared" si="16"/>
        <v>128.77647611683864</v>
      </c>
      <c r="F100" s="236">
        <f t="shared" si="17"/>
        <v>268.28432524341406</v>
      </c>
      <c r="G100" s="238"/>
      <c r="H100" s="514"/>
      <c r="I100" s="234" t="s">
        <v>231</v>
      </c>
      <c r="J100" s="235">
        <f t="shared" si="13"/>
        <v>212.09430000000009</v>
      </c>
      <c r="K100" s="235">
        <f t="shared" si="10"/>
        <v>3.534905000000002</v>
      </c>
      <c r="L100" s="235">
        <f t="shared" si="11"/>
        <v>3.2135499999999997</v>
      </c>
      <c r="M100" s="236">
        <f t="shared" si="18"/>
        <v>6.7484550000000016</v>
      </c>
      <c r="N100" s="236"/>
      <c r="O100" s="512"/>
      <c r="P100" s="234" t="s">
        <v>231</v>
      </c>
      <c r="Q100" s="235">
        <f t="shared" si="15"/>
        <v>6667.7468000000154</v>
      </c>
      <c r="R100" s="235">
        <f t="shared" si="19"/>
        <v>111.12911333333359</v>
      </c>
      <c r="S100" s="235">
        <f t="shared" si="14"/>
        <v>85.48393333333334</v>
      </c>
      <c r="T100" s="236">
        <f t="shared" ref="T100:T163" si="20">R100+S100</f>
        <v>196.61304666666695</v>
      </c>
      <c r="U100" s="236"/>
      <c r="V100" s="512"/>
      <c r="W100" s="234" t="s">
        <v>231</v>
      </c>
      <c r="X100" s="235"/>
      <c r="Y100" s="235"/>
      <c r="Z100" s="235"/>
      <c r="AA100" s="236">
        <f t="shared" ref="AA100:AA163" si="21">Y100+Z100</f>
        <v>0</v>
      </c>
      <c r="AB100" s="236"/>
      <c r="AC100" s="512"/>
      <c r="AD100" s="234" t="s">
        <v>231</v>
      </c>
      <c r="AE100" s="235"/>
      <c r="AF100" s="235"/>
      <c r="AG100" s="235"/>
      <c r="AH100" s="236">
        <f t="shared" ref="AH100:AH163" si="22">AF100+AG100</f>
        <v>0</v>
      </c>
      <c r="AI100" s="236"/>
      <c r="AK100" s="240"/>
    </row>
    <row r="101" spans="1:37" x14ac:dyDescent="0.2">
      <c r="A101" s="512"/>
      <c r="B101" s="234" t="s">
        <v>232</v>
      </c>
      <c r="C101" s="235">
        <f t="shared" si="12"/>
        <v>8241.6944714776855</v>
      </c>
      <c r="D101" s="235">
        <f t="shared" si="8"/>
        <v>137.36157452462808</v>
      </c>
      <c r="E101" s="235">
        <f t="shared" si="16"/>
        <v>128.77647611683864</v>
      </c>
      <c r="F101" s="236">
        <f t="shared" si="17"/>
        <v>266.13805064146675</v>
      </c>
      <c r="G101" s="238"/>
      <c r="H101" s="514"/>
      <c r="I101" s="234" t="s">
        <v>232</v>
      </c>
      <c r="J101" s="235">
        <f t="shared" si="13"/>
        <v>208.88075000000009</v>
      </c>
      <c r="K101" s="235">
        <f t="shared" si="10"/>
        <v>3.4813458333333354</v>
      </c>
      <c r="L101" s="235">
        <f t="shared" si="11"/>
        <v>3.2135499999999997</v>
      </c>
      <c r="M101" s="236">
        <f t="shared" si="18"/>
        <v>6.6948958333333355</v>
      </c>
      <c r="N101" s="236"/>
      <c r="O101" s="512"/>
      <c r="P101" s="234" t="s">
        <v>232</v>
      </c>
      <c r="Q101" s="235">
        <f t="shared" si="15"/>
        <v>6582.2628666666824</v>
      </c>
      <c r="R101" s="235">
        <f t="shared" si="19"/>
        <v>109.70438111111139</v>
      </c>
      <c r="S101" s="235">
        <f t="shared" si="14"/>
        <v>85.48393333333334</v>
      </c>
      <c r="T101" s="236">
        <f t="shared" si="20"/>
        <v>195.18831444444473</v>
      </c>
      <c r="U101" s="236"/>
      <c r="V101" s="512"/>
      <c r="W101" s="234" t="s">
        <v>232</v>
      </c>
      <c r="X101" s="235"/>
      <c r="Y101" s="235"/>
      <c r="Z101" s="235"/>
      <c r="AA101" s="236">
        <f t="shared" si="21"/>
        <v>0</v>
      </c>
      <c r="AB101" s="236"/>
      <c r="AC101" s="512"/>
      <c r="AD101" s="234" t="s">
        <v>232</v>
      </c>
      <c r="AE101" s="235"/>
      <c r="AF101" s="235"/>
      <c r="AG101" s="235"/>
      <c r="AH101" s="236">
        <f t="shared" si="22"/>
        <v>0</v>
      </c>
      <c r="AI101" s="236"/>
      <c r="AK101" s="240"/>
    </row>
    <row r="102" spans="1:37" x14ac:dyDescent="0.2">
      <c r="A102" s="512"/>
      <c r="B102" s="234" t="s">
        <v>233</v>
      </c>
      <c r="C102" s="235">
        <f t="shared" si="12"/>
        <v>8112.9179953608473</v>
      </c>
      <c r="D102" s="235">
        <f t="shared" si="8"/>
        <v>135.2152999226808</v>
      </c>
      <c r="E102" s="235">
        <f t="shared" si="16"/>
        <v>128.77647611683864</v>
      </c>
      <c r="F102" s="236">
        <f t="shared" si="17"/>
        <v>263.99177603951944</v>
      </c>
      <c r="G102" s="238"/>
      <c r="H102" s="514"/>
      <c r="I102" s="234" t="s">
        <v>233</v>
      </c>
      <c r="J102" s="235">
        <f t="shared" si="13"/>
        <v>205.66720000000009</v>
      </c>
      <c r="K102" s="235">
        <f t="shared" si="10"/>
        <v>3.4277866666666683</v>
      </c>
      <c r="L102" s="235">
        <f t="shared" si="11"/>
        <v>3.2135499999999997</v>
      </c>
      <c r="M102" s="236">
        <f t="shared" si="18"/>
        <v>6.6413366666666676</v>
      </c>
      <c r="N102" s="236"/>
      <c r="O102" s="512"/>
      <c r="P102" s="234" t="s">
        <v>233</v>
      </c>
      <c r="Q102" s="235">
        <f t="shared" si="15"/>
        <v>6496.7789333333494</v>
      </c>
      <c r="R102" s="235">
        <f t="shared" si="19"/>
        <v>108.27964888888916</v>
      </c>
      <c r="S102" s="235">
        <f t="shared" si="14"/>
        <v>85.48393333333334</v>
      </c>
      <c r="T102" s="236">
        <f t="shared" si="20"/>
        <v>193.76358222222251</v>
      </c>
      <c r="U102" s="236"/>
      <c r="V102" s="512"/>
      <c r="W102" s="234" t="s">
        <v>233</v>
      </c>
      <c r="X102" s="235"/>
      <c r="Y102" s="235"/>
      <c r="Z102" s="235"/>
      <c r="AA102" s="236">
        <f t="shared" si="21"/>
        <v>0</v>
      </c>
      <c r="AB102" s="236"/>
      <c r="AC102" s="512"/>
      <c r="AD102" s="234" t="s">
        <v>233</v>
      </c>
      <c r="AE102" s="235"/>
      <c r="AF102" s="235"/>
      <c r="AG102" s="235"/>
      <c r="AH102" s="236">
        <f t="shared" si="22"/>
        <v>0</v>
      </c>
      <c r="AI102" s="236"/>
      <c r="AK102" s="240"/>
    </row>
    <row r="103" spans="1:37" x14ac:dyDescent="0.2">
      <c r="A103" s="512"/>
      <c r="B103" s="234" t="s">
        <v>234</v>
      </c>
      <c r="C103" s="235">
        <f t="shared" si="12"/>
        <v>7984.141519244009</v>
      </c>
      <c r="D103" s="235">
        <f t="shared" si="8"/>
        <v>133.06902532073349</v>
      </c>
      <c r="E103" s="235">
        <f t="shared" si="16"/>
        <v>128.77647611683864</v>
      </c>
      <c r="F103" s="236">
        <f t="shared" si="17"/>
        <v>261.84550143757212</v>
      </c>
      <c r="G103" s="238"/>
      <c r="H103" s="514"/>
      <c r="I103" s="234" t="s">
        <v>234</v>
      </c>
      <c r="J103" s="235">
        <f t="shared" si="13"/>
        <v>202.4536500000001</v>
      </c>
      <c r="K103" s="235">
        <f t="shared" si="10"/>
        <v>3.3742275000000017</v>
      </c>
      <c r="L103" s="235">
        <f t="shared" si="11"/>
        <v>3.2135499999999997</v>
      </c>
      <c r="M103" s="236">
        <f t="shared" si="18"/>
        <v>6.5877775000000014</v>
      </c>
      <c r="N103" s="236"/>
      <c r="O103" s="512"/>
      <c r="P103" s="234" t="s">
        <v>234</v>
      </c>
      <c r="Q103" s="235">
        <f t="shared" si="15"/>
        <v>6411.2950000000164</v>
      </c>
      <c r="R103" s="235">
        <f t="shared" si="19"/>
        <v>106.85491666666695</v>
      </c>
      <c r="S103" s="235">
        <f t="shared" si="14"/>
        <v>85.48393333333334</v>
      </c>
      <c r="T103" s="236">
        <f t="shared" si="20"/>
        <v>192.33885000000029</v>
      </c>
      <c r="U103" s="236"/>
      <c r="V103" s="512"/>
      <c r="W103" s="234" t="s">
        <v>234</v>
      </c>
      <c r="X103" s="235"/>
      <c r="Y103" s="235"/>
      <c r="Z103" s="235"/>
      <c r="AA103" s="236">
        <f t="shared" si="21"/>
        <v>0</v>
      </c>
      <c r="AB103" s="236"/>
      <c r="AC103" s="512"/>
      <c r="AD103" s="234" t="s">
        <v>234</v>
      </c>
      <c r="AE103" s="235"/>
      <c r="AF103" s="235"/>
      <c r="AG103" s="235"/>
      <c r="AH103" s="236">
        <f t="shared" si="22"/>
        <v>0</v>
      </c>
      <c r="AI103" s="236"/>
      <c r="AK103" s="240"/>
    </row>
    <row r="104" spans="1:37" x14ac:dyDescent="0.2">
      <c r="A104" s="512"/>
      <c r="B104" s="234" t="s">
        <v>235</v>
      </c>
      <c r="C104" s="235">
        <f t="shared" si="12"/>
        <v>7855.3650431271708</v>
      </c>
      <c r="D104" s="235">
        <f t="shared" si="8"/>
        <v>130.9227507187862</v>
      </c>
      <c r="E104" s="235">
        <f t="shared" si="16"/>
        <v>128.77647611683864</v>
      </c>
      <c r="F104" s="236">
        <f t="shared" si="17"/>
        <v>259.69922683562481</v>
      </c>
      <c r="G104" s="238"/>
      <c r="H104" s="514"/>
      <c r="I104" s="234" t="s">
        <v>235</v>
      </c>
      <c r="J104" s="235">
        <f t="shared" si="13"/>
        <v>199.2401000000001</v>
      </c>
      <c r="K104" s="235">
        <f t="shared" si="10"/>
        <v>3.3206683333333351</v>
      </c>
      <c r="L104" s="235">
        <f t="shared" si="11"/>
        <v>3.2135499999999997</v>
      </c>
      <c r="M104" s="236">
        <f t="shared" si="18"/>
        <v>6.5342183333333352</v>
      </c>
      <c r="N104" s="236"/>
      <c r="O104" s="512"/>
      <c r="P104" s="234" t="s">
        <v>235</v>
      </c>
      <c r="Q104" s="235">
        <f t="shared" si="15"/>
        <v>6325.8110666666835</v>
      </c>
      <c r="R104" s="235">
        <f t="shared" si="19"/>
        <v>105.43018444444472</v>
      </c>
      <c r="S104" s="235">
        <f t="shared" si="14"/>
        <v>85.48393333333334</v>
      </c>
      <c r="T104" s="236">
        <f t="shared" si="20"/>
        <v>190.91411777777807</v>
      </c>
      <c r="U104" s="236"/>
      <c r="V104" s="512"/>
      <c r="W104" s="234" t="s">
        <v>235</v>
      </c>
      <c r="X104" s="235"/>
      <c r="Y104" s="235"/>
      <c r="Z104" s="235"/>
      <c r="AA104" s="236">
        <f t="shared" si="21"/>
        <v>0</v>
      </c>
      <c r="AB104" s="236"/>
      <c r="AC104" s="512"/>
      <c r="AD104" s="234" t="s">
        <v>235</v>
      </c>
      <c r="AE104" s="235"/>
      <c r="AF104" s="235"/>
      <c r="AG104" s="235"/>
      <c r="AH104" s="236">
        <f t="shared" si="22"/>
        <v>0</v>
      </c>
      <c r="AI104" s="236"/>
      <c r="AK104" s="240"/>
    </row>
    <row r="105" spans="1:37" x14ac:dyDescent="0.2">
      <c r="A105" s="512"/>
      <c r="B105" s="234" t="s">
        <v>236</v>
      </c>
      <c r="C105" s="235">
        <f t="shared" si="12"/>
        <v>7726.5885670103326</v>
      </c>
      <c r="D105" s="235">
        <f t="shared" si="8"/>
        <v>128.77647611683889</v>
      </c>
      <c r="E105" s="235">
        <f t="shared" si="16"/>
        <v>128.77647611683864</v>
      </c>
      <c r="F105" s="236">
        <f t="shared" si="17"/>
        <v>257.5529522336775</v>
      </c>
      <c r="G105" s="239">
        <f>SUM(D94:D105)</f>
        <v>1686.9718371305885</v>
      </c>
      <c r="H105" s="515"/>
      <c r="I105" s="234" t="s">
        <v>236</v>
      </c>
      <c r="J105" s="235">
        <f t="shared" si="13"/>
        <v>196.0265500000001</v>
      </c>
      <c r="K105" s="235">
        <f t="shared" si="10"/>
        <v>3.267109166666669</v>
      </c>
      <c r="L105" s="235">
        <f t="shared" si="11"/>
        <v>3.2135499999999997</v>
      </c>
      <c r="M105" s="236">
        <f t="shared" si="18"/>
        <v>6.4806591666666691</v>
      </c>
      <c r="N105" s="239">
        <f>SUM(K94:K105)</f>
        <v>42.740215000000028</v>
      </c>
      <c r="O105" s="512"/>
      <c r="P105" s="234" t="s">
        <v>236</v>
      </c>
      <c r="Q105" s="235">
        <f t="shared" si="15"/>
        <v>6240.3271333333505</v>
      </c>
      <c r="R105" s="235">
        <f t="shared" si="19"/>
        <v>104.00545222222252</v>
      </c>
      <c r="S105" s="235">
        <f t="shared" si="14"/>
        <v>85.48393333333334</v>
      </c>
      <c r="T105" s="236">
        <f t="shared" si="20"/>
        <v>189.48938555555586</v>
      </c>
      <c r="U105" s="239">
        <f>SUM(R94:R105)</f>
        <v>1342.0977533333362</v>
      </c>
      <c r="V105" s="512"/>
      <c r="W105" s="234" t="s">
        <v>236</v>
      </c>
      <c r="X105" s="235"/>
      <c r="Y105" s="235"/>
      <c r="Z105" s="235"/>
      <c r="AA105" s="236">
        <f t="shared" si="21"/>
        <v>0</v>
      </c>
      <c r="AB105" s="239">
        <f>SUM(Y94:Y105)</f>
        <v>0</v>
      </c>
      <c r="AC105" s="512"/>
      <c r="AD105" s="234" t="s">
        <v>236</v>
      </c>
      <c r="AE105" s="235"/>
      <c r="AF105" s="235"/>
      <c r="AG105" s="235"/>
      <c r="AH105" s="236">
        <f t="shared" si="22"/>
        <v>0</v>
      </c>
      <c r="AI105" s="239">
        <f>SUM(AF94:AF105)</f>
        <v>0</v>
      </c>
      <c r="AJ105" s="208">
        <f>AJ93+1</f>
        <v>2029</v>
      </c>
      <c r="AK105" s="240">
        <f>G105+N105+U105+AB105+AI105</f>
        <v>3071.8098054639249</v>
      </c>
    </row>
    <row r="106" spans="1:37" x14ac:dyDescent="0.2">
      <c r="A106" s="513">
        <f>A94+1</f>
        <v>2030</v>
      </c>
      <c r="B106" s="234" t="s">
        <v>225</v>
      </c>
      <c r="C106" s="235">
        <f t="shared" si="12"/>
        <v>7597.8120908934943</v>
      </c>
      <c r="D106" s="235">
        <f t="shared" si="8"/>
        <v>126.63020151489157</v>
      </c>
      <c r="E106" s="235">
        <f t="shared" si="16"/>
        <v>128.77647611683864</v>
      </c>
      <c r="F106" s="236">
        <f t="shared" si="17"/>
        <v>255.40667763173019</v>
      </c>
      <c r="G106" s="237"/>
      <c r="H106" s="513">
        <f>H94+1</f>
        <v>2030</v>
      </c>
      <c r="I106" s="234" t="s">
        <v>225</v>
      </c>
      <c r="J106" s="235">
        <f t="shared" si="13"/>
        <v>192.8130000000001</v>
      </c>
      <c r="K106" s="235">
        <f t="shared" si="10"/>
        <v>3.2135500000000019</v>
      </c>
      <c r="L106" s="235">
        <f t="shared" si="11"/>
        <v>3.2135499999999997</v>
      </c>
      <c r="M106" s="236">
        <f t="shared" si="18"/>
        <v>6.4271000000000011</v>
      </c>
      <c r="N106" s="237"/>
      <c r="O106" s="513">
        <f>O94+1</f>
        <v>2030</v>
      </c>
      <c r="P106" s="234" t="s">
        <v>225</v>
      </c>
      <c r="Q106" s="235">
        <f t="shared" si="15"/>
        <v>6154.8432000000175</v>
      </c>
      <c r="R106" s="235">
        <f t="shared" si="19"/>
        <v>102.58072000000031</v>
      </c>
      <c r="S106" s="235">
        <f t="shared" si="14"/>
        <v>85.48393333333334</v>
      </c>
      <c r="T106" s="236">
        <f t="shared" si="20"/>
        <v>188.06465333333364</v>
      </c>
      <c r="U106" s="237"/>
      <c r="V106" s="513">
        <f>V94+1</f>
        <v>2029</v>
      </c>
      <c r="W106" s="234" t="s">
        <v>225</v>
      </c>
      <c r="X106" s="235"/>
      <c r="Y106" s="235"/>
      <c r="Z106" s="235"/>
      <c r="AA106" s="236">
        <f t="shared" si="21"/>
        <v>0</v>
      </c>
      <c r="AB106" s="237"/>
      <c r="AC106" s="513">
        <f>AC94+1</f>
        <v>2029</v>
      </c>
      <c r="AD106" s="234" t="s">
        <v>225</v>
      </c>
      <c r="AE106" s="235"/>
      <c r="AF106" s="235"/>
      <c r="AG106" s="235"/>
      <c r="AH106" s="236">
        <f t="shared" si="22"/>
        <v>0</v>
      </c>
      <c r="AI106" s="237"/>
      <c r="AK106" s="240"/>
    </row>
    <row r="107" spans="1:37" x14ac:dyDescent="0.2">
      <c r="A107" s="514"/>
      <c r="B107" s="234" t="s">
        <v>226</v>
      </c>
      <c r="C107" s="235">
        <f t="shared" si="12"/>
        <v>7469.0356147766561</v>
      </c>
      <c r="D107" s="235">
        <f t="shared" si="8"/>
        <v>124.48392691294428</v>
      </c>
      <c r="E107" s="235">
        <f t="shared" si="16"/>
        <v>128.77647611683864</v>
      </c>
      <c r="F107" s="236">
        <f t="shared" si="17"/>
        <v>253.26040302978294</v>
      </c>
      <c r="G107" s="238"/>
      <c r="H107" s="514"/>
      <c r="I107" s="234" t="s">
        <v>226</v>
      </c>
      <c r="J107" s="235">
        <f t="shared" si="13"/>
        <v>189.5994500000001</v>
      </c>
      <c r="K107" s="235">
        <f t="shared" si="10"/>
        <v>3.1599908333333353</v>
      </c>
      <c r="L107" s="235">
        <f t="shared" si="11"/>
        <v>3.2135499999999997</v>
      </c>
      <c r="M107" s="236">
        <f t="shared" si="18"/>
        <v>6.373540833333335</v>
      </c>
      <c r="N107" s="238"/>
      <c r="O107" s="514"/>
      <c r="P107" s="234" t="s">
        <v>226</v>
      </c>
      <c r="Q107" s="235">
        <f t="shared" si="15"/>
        <v>6069.3592666666846</v>
      </c>
      <c r="R107" s="235">
        <f t="shared" si="19"/>
        <v>101.15598777777808</v>
      </c>
      <c r="S107" s="235">
        <f t="shared" si="14"/>
        <v>85.48393333333334</v>
      </c>
      <c r="T107" s="236">
        <f t="shared" si="20"/>
        <v>186.63992111111142</v>
      </c>
      <c r="U107" s="238"/>
      <c r="V107" s="514"/>
      <c r="W107" s="234" t="s">
        <v>226</v>
      </c>
      <c r="X107" s="235"/>
      <c r="Y107" s="235"/>
      <c r="Z107" s="235"/>
      <c r="AA107" s="236">
        <f t="shared" si="21"/>
        <v>0</v>
      </c>
      <c r="AB107" s="238"/>
      <c r="AC107" s="514"/>
      <c r="AD107" s="234" t="s">
        <v>226</v>
      </c>
      <c r="AE107" s="235"/>
      <c r="AF107" s="235"/>
      <c r="AG107" s="235"/>
      <c r="AH107" s="236">
        <f t="shared" si="22"/>
        <v>0</v>
      </c>
      <c r="AI107" s="238"/>
      <c r="AK107" s="240"/>
    </row>
    <row r="108" spans="1:37" x14ac:dyDescent="0.2">
      <c r="A108" s="514"/>
      <c r="B108" s="234" t="s">
        <v>227</v>
      </c>
      <c r="C108" s="235">
        <f t="shared" si="12"/>
        <v>7340.2591386598178</v>
      </c>
      <c r="D108" s="235">
        <f t="shared" si="8"/>
        <v>122.33765231099697</v>
      </c>
      <c r="E108" s="235">
        <f t="shared" si="16"/>
        <v>128.77647611683864</v>
      </c>
      <c r="F108" s="236">
        <f t="shared" si="17"/>
        <v>251.11412842783562</v>
      </c>
      <c r="G108" s="238"/>
      <c r="H108" s="514"/>
      <c r="I108" s="234" t="s">
        <v>227</v>
      </c>
      <c r="J108" s="235">
        <f t="shared" si="13"/>
        <v>186.38590000000011</v>
      </c>
      <c r="K108" s="235">
        <f t="shared" si="10"/>
        <v>3.1064316666666687</v>
      </c>
      <c r="L108" s="235">
        <f t="shared" si="11"/>
        <v>3.2135499999999997</v>
      </c>
      <c r="M108" s="236">
        <f t="shared" si="18"/>
        <v>6.3199816666666688</v>
      </c>
      <c r="N108" s="238"/>
      <c r="O108" s="514"/>
      <c r="P108" s="234" t="s">
        <v>227</v>
      </c>
      <c r="Q108" s="235">
        <f t="shared" si="15"/>
        <v>5983.8753333333516</v>
      </c>
      <c r="R108" s="235">
        <f t="shared" si="19"/>
        <v>99.731255555555876</v>
      </c>
      <c r="S108" s="235">
        <f t="shared" si="14"/>
        <v>85.48393333333334</v>
      </c>
      <c r="T108" s="236">
        <f t="shared" si="20"/>
        <v>185.2151888888892</v>
      </c>
      <c r="U108" s="238"/>
      <c r="V108" s="514"/>
      <c r="W108" s="234" t="s">
        <v>227</v>
      </c>
      <c r="X108" s="235"/>
      <c r="Y108" s="235"/>
      <c r="Z108" s="235"/>
      <c r="AA108" s="236">
        <f t="shared" si="21"/>
        <v>0</v>
      </c>
      <c r="AB108" s="238"/>
      <c r="AC108" s="514"/>
      <c r="AD108" s="234" t="s">
        <v>227</v>
      </c>
      <c r="AE108" s="235"/>
      <c r="AF108" s="235"/>
      <c r="AG108" s="235"/>
      <c r="AH108" s="236">
        <f t="shared" si="22"/>
        <v>0</v>
      </c>
      <c r="AI108" s="238"/>
      <c r="AK108" s="240"/>
    </row>
    <row r="109" spans="1:37" x14ac:dyDescent="0.2">
      <c r="A109" s="514"/>
      <c r="B109" s="234" t="s">
        <v>228</v>
      </c>
      <c r="C109" s="235">
        <f t="shared" si="12"/>
        <v>7211.4826625429796</v>
      </c>
      <c r="D109" s="235">
        <f t="shared" si="8"/>
        <v>120.19137770904968</v>
      </c>
      <c r="E109" s="235">
        <f t="shared" si="16"/>
        <v>128.77647611683864</v>
      </c>
      <c r="F109" s="236">
        <f t="shared" si="17"/>
        <v>248.96785382588831</v>
      </c>
      <c r="G109" s="238"/>
      <c r="H109" s="514"/>
      <c r="I109" s="234" t="s">
        <v>228</v>
      </c>
      <c r="J109" s="235">
        <f t="shared" si="13"/>
        <v>183.17235000000011</v>
      </c>
      <c r="K109" s="235">
        <f t="shared" si="10"/>
        <v>3.0528725000000017</v>
      </c>
      <c r="L109" s="235">
        <f t="shared" si="11"/>
        <v>3.2135499999999997</v>
      </c>
      <c r="M109" s="236">
        <f t="shared" si="18"/>
        <v>6.2664225000000009</v>
      </c>
      <c r="N109" s="238"/>
      <c r="O109" s="514"/>
      <c r="P109" s="234" t="s">
        <v>228</v>
      </c>
      <c r="Q109" s="235">
        <f t="shared" si="15"/>
        <v>5898.3914000000186</v>
      </c>
      <c r="R109" s="235">
        <f t="shared" si="19"/>
        <v>98.306523333333644</v>
      </c>
      <c r="S109" s="235">
        <f t="shared" si="14"/>
        <v>85.48393333333334</v>
      </c>
      <c r="T109" s="236">
        <f t="shared" si="20"/>
        <v>183.79045666666698</v>
      </c>
      <c r="U109" s="238"/>
      <c r="V109" s="514"/>
      <c r="W109" s="234" t="s">
        <v>228</v>
      </c>
      <c r="X109" s="235"/>
      <c r="Y109" s="235"/>
      <c r="Z109" s="235"/>
      <c r="AA109" s="236">
        <f t="shared" si="21"/>
        <v>0</v>
      </c>
      <c r="AB109" s="238"/>
      <c r="AC109" s="514"/>
      <c r="AD109" s="234" t="s">
        <v>228</v>
      </c>
      <c r="AE109" s="235"/>
      <c r="AF109" s="235"/>
      <c r="AG109" s="235"/>
      <c r="AH109" s="236">
        <f t="shared" si="22"/>
        <v>0</v>
      </c>
      <c r="AI109" s="238"/>
      <c r="AK109" s="240"/>
    </row>
    <row r="110" spans="1:37" x14ac:dyDescent="0.2">
      <c r="A110" s="514"/>
      <c r="B110" s="234" t="s">
        <v>229</v>
      </c>
      <c r="C110" s="235">
        <f t="shared" si="12"/>
        <v>7082.7061864261414</v>
      </c>
      <c r="D110" s="235">
        <f t="shared" ref="D110:D165" si="23">C110*$D$7/12</f>
        <v>118.04510310710236</v>
      </c>
      <c r="E110" s="235">
        <f t="shared" si="16"/>
        <v>128.77647611683864</v>
      </c>
      <c r="F110" s="236">
        <f t="shared" si="17"/>
        <v>246.821579223941</v>
      </c>
      <c r="G110" s="238"/>
      <c r="H110" s="514"/>
      <c r="I110" s="234" t="s">
        <v>229</v>
      </c>
      <c r="J110" s="235">
        <f t="shared" si="13"/>
        <v>179.95880000000011</v>
      </c>
      <c r="K110" s="235">
        <f t="shared" ref="K110:K165" si="24">J110*$D$7/12</f>
        <v>2.9993133333333351</v>
      </c>
      <c r="L110" s="235">
        <f t="shared" ref="L110:L165" si="25">$J$7/$K$8</f>
        <v>3.2135499999999997</v>
      </c>
      <c r="M110" s="236">
        <f t="shared" si="18"/>
        <v>6.2128633333333347</v>
      </c>
      <c r="N110" s="238"/>
      <c r="O110" s="514"/>
      <c r="P110" s="234" t="s">
        <v>229</v>
      </c>
      <c r="Q110" s="235">
        <f t="shared" si="15"/>
        <v>5812.9074666666857</v>
      </c>
      <c r="R110" s="235">
        <f t="shared" si="19"/>
        <v>96.88179111111144</v>
      </c>
      <c r="S110" s="235">
        <f t="shared" si="14"/>
        <v>85.48393333333334</v>
      </c>
      <c r="T110" s="236">
        <f t="shared" si="20"/>
        <v>182.36572444444477</v>
      </c>
      <c r="U110" s="238"/>
      <c r="V110" s="514"/>
      <c r="W110" s="234" t="s">
        <v>229</v>
      </c>
      <c r="X110" s="235"/>
      <c r="Y110" s="235"/>
      <c r="Z110" s="235"/>
      <c r="AA110" s="236">
        <f t="shared" si="21"/>
        <v>0</v>
      </c>
      <c r="AB110" s="238"/>
      <c r="AC110" s="514"/>
      <c r="AD110" s="234" t="s">
        <v>229</v>
      </c>
      <c r="AE110" s="235"/>
      <c r="AF110" s="235"/>
      <c r="AG110" s="235"/>
      <c r="AH110" s="236">
        <f t="shared" si="22"/>
        <v>0</v>
      </c>
      <c r="AI110" s="238"/>
      <c r="AK110" s="240"/>
    </row>
    <row r="111" spans="1:37" x14ac:dyDescent="0.2">
      <c r="A111" s="514"/>
      <c r="B111" s="234" t="s">
        <v>230</v>
      </c>
      <c r="C111" s="235">
        <f t="shared" ref="C111:C165" si="26">C110-E110</f>
        <v>6953.9297103093031</v>
      </c>
      <c r="D111" s="235">
        <f t="shared" si="23"/>
        <v>115.89882850515505</v>
      </c>
      <c r="E111" s="235">
        <f t="shared" si="16"/>
        <v>128.77647611683864</v>
      </c>
      <c r="F111" s="236">
        <f t="shared" si="17"/>
        <v>244.67530462199369</v>
      </c>
      <c r="G111" s="238"/>
      <c r="H111" s="514"/>
      <c r="I111" s="234" t="s">
        <v>230</v>
      </c>
      <c r="J111" s="235">
        <f t="shared" ref="J111:J165" si="27">J110-L110</f>
        <v>176.74525000000011</v>
      </c>
      <c r="K111" s="235">
        <f t="shared" si="24"/>
        <v>2.9457541666666689</v>
      </c>
      <c r="L111" s="235">
        <f t="shared" si="25"/>
        <v>3.2135499999999997</v>
      </c>
      <c r="M111" s="236">
        <f t="shared" si="18"/>
        <v>6.1593041666666686</v>
      </c>
      <c r="N111" s="238"/>
      <c r="O111" s="514"/>
      <c r="P111" s="234" t="s">
        <v>230</v>
      </c>
      <c r="Q111" s="235">
        <f t="shared" si="15"/>
        <v>5727.4235333333527</v>
      </c>
      <c r="R111" s="235">
        <f t="shared" si="19"/>
        <v>95.457058888889208</v>
      </c>
      <c r="S111" s="235">
        <f t="shared" si="14"/>
        <v>85.48393333333334</v>
      </c>
      <c r="T111" s="236">
        <f t="shared" si="20"/>
        <v>180.94099222222255</v>
      </c>
      <c r="U111" s="238"/>
      <c r="V111" s="514"/>
      <c r="W111" s="234" t="s">
        <v>230</v>
      </c>
      <c r="X111" s="235"/>
      <c r="Y111" s="235"/>
      <c r="Z111" s="235"/>
      <c r="AA111" s="236">
        <f t="shared" si="21"/>
        <v>0</v>
      </c>
      <c r="AB111" s="238"/>
      <c r="AC111" s="514"/>
      <c r="AD111" s="234" t="s">
        <v>230</v>
      </c>
      <c r="AE111" s="235"/>
      <c r="AF111" s="235"/>
      <c r="AG111" s="235"/>
      <c r="AH111" s="236">
        <f t="shared" si="22"/>
        <v>0</v>
      </c>
      <c r="AI111" s="238"/>
      <c r="AK111" s="240"/>
    </row>
    <row r="112" spans="1:37" x14ac:dyDescent="0.2">
      <c r="A112" s="514"/>
      <c r="B112" s="234" t="s">
        <v>231</v>
      </c>
      <c r="C112" s="235">
        <f t="shared" si="26"/>
        <v>6825.1532341924649</v>
      </c>
      <c r="D112" s="235">
        <f t="shared" si="23"/>
        <v>113.75255390320775</v>
      </c>
      <c r="E112" s="235">
        <f t="shared" si="16"/>
        <v>128.77647611683864</v>
      </c>
      <c r="F112" s="236">
        <f t="shared" si="17"/>
        <v>242.52903002004638</v>
      </c>
      <c r="G112" s="238"/>
      <c r="H112" s="514"/>
      <c r="I112" s="234" t="s">
        <v>231</v>
      </c>
      <c r="J112" s="235">
        <f t="shared" si="27"/>
        <v>173.53170000000011</v>
      </c>
      <c r="K112" s="235">
        <f t="shared" si="24"/>
        <v>2.8921950000000023</v>
      </c>
      <c r="L112" s="235">
        <f t="shared" si="25"/>
        <v>3.2135499999999997</v>
      </c>
      <c r="M112" s="236">
        <f t="shared" si="18"/>
        <v>6.1057450000000024</v>
      </c>
      <c r="N112" s="238"/>
      <c r="O112" s="514"/>
      <c r="P112" s="234" t="s">
        <v>231</v>
      </c>
      <c r="Q112" s="235">
        <f t="shared" si="15"/>
        <v>5641.9396000000197</v>
      </c>
      <c r="R112" s="235">
        <f t="shared" si="19"/>
        <v>94.032326666667004</v>
      </c>
      <c r="S112" s="235">
        <f t="shared" si="14"/>
        <v>85.48393333333334</v>
      </c>
      <c r="T112" s="236">
        <f t="shared" si="20"/>
        <v>179.51626000000033</v>
      </c>
      <c r="U112" s="238"/>
      <c r="V112" s="514"/>
      <c r="W112" s="234" t="s">
        <v>231</v>
      </c>
      <c r="X112" s="235"/>
      <c r="Y112" s="235"/>
      <c r="Z112" s="235"/>
      <c r="AA112" s="236">
        <f t="shared" si="21"/>
        <v>0</v>
      </c>
      <c r="AB112" s="238"/>
      <c r="AC112" s="514"/>
      <c r="AD112" s="234" t="s">
        <v>231</v>
      </c>
      <c r="AE112" s="235"/>
      <c r="AF112" s="235"/>
      <c r="AG112" s="235"/>
      <c r="AH112" s="236">
        <f t="shared" si="22"/>
        <v>0</v>
      </c>
      <c r="AI112" s="238"/>
      <c r="AK112" s="240"/>
    </row>
    <row r="113" spans="1:37" x14ac:dyDescent="0.2">
      <c r="A113" s="514"/>
      <c r="B113" s="234" t="s">
        <v>232</v>
      </c>
      <c r="C113" s="235">
        <f t="shared" si="26"/>
        <v>6696.3767580756266</v>
      </c>
      <c r="D113" s="235">
        <f t="shared" si="23"/>
        <v>111.60627930126044</v>
      </c>
      <c r="E113" s="235">
        <f t="shared" si="16"/>
        <v>128.77647611683864</v>
      </c>
      <c r="F113" s="236">
        <f t="shared" si="17"/>
        <v>240.38275541809907</v>
      </c>
      <c r="G113" s="238"/>
      <c r="H113" s="514"/>
      <c r="I113" s="234" t="s">
        <v>232</v>
      </c>
      <c r="J113" s="235">
        <f t="shared" si="27"/>
        <v>170.31815000000012</v>
      </c>
      <c r="K113" s="235">
        <f t="shared" si="24"/>
        <v>2.8386358333333352</v>
      </c>
      <c r="L113" s="235">
        <f t="shared" si="25"/>
        <v>3.2135499999999997</v>
      </c>
      <c r="M113" s="236">
        <f t="shared" si="18"/>
        <v>6.0521858333333345</v>
      </c>
      <c r="N113" s="238"/>
      <c r="O113" s="514"/>
      <c r="P113" s="234" t="s">
        <v>232</v>
      </c>
      <c r="Q113" s="235">
        <f t="shared" si="15"/>
        <v>5556.4556666666867</v>
      </c>
      <c r="R113" s="235">
        <f t="shared" si="19"/>
        <v>92.607594444444786</v>
      </c>
      <c r="S113" s="235">
        <f t="shared" si="14"/>
        <v>85.48393333333334</v>
      </c>
      <c r="T113" s="236">
        <f t="shared" si="20"/>
        <v>178.09152777777814</v>
      </c>
      <c r="U113" s="238"/>
      <c r="V113" s="514"/>
      <c r="W113" s="234" t="s">
        <v>232</v>
      </c>
      <c r="X113" s="235"/>
      <c r="Y113" s="235"/>
      <c r="Z113" s="235"/>
      <c r="AA113" s="236">
        <f t="shared" si="21"/>
        <v>0</v>
      </c>
      <c r="AB113" s="238"/>
      <c r="AC113" s="514"/>
      <c r="AD113" s="234" t="s">
        <v>232</v>
      </c>
      <c r="AE113" s="235"/>
      <c r="AF113" s="235"/>
      <c r="AG113" s="235"/>
      <c r="AH113" s="236">
        <f t="shared" si="22"/>
        <v>0</v>
      </c>
      <c r="AI113" s="238"/>
      <c r="AK113" s="240"/>
    </row>
    <row r="114" spans="1:37" x14ac:dyDescent="0.2">
      <c r="A114" s="514"/>
      <c r="B114" s="234" t="s">
        <v>233</v>
      </c>
      <c r="C114" s="235">
        <f t="shared" si="26"/>
        <v>6567.6002819587884</v>
      </c>
      <c r="D114" s="235">
        <f t="shared" si="23"/>
        <v>109.46000469931316</v>
      </c>
      <c r="E114" s="235">
        <f t="shared" si="16"/>
        <v>128.77647611683864</v>
      </c>
      <c r="F114" s="236">
        <f t="shared" si="17"/>
        <v>238.23648081615181</v>
      </c>
      <c r="G114" s="238"/>
      <c r="H114" s="514"/>
      <c r="I114" s="234" t="s">
        <v>233</v>
      </c>
      <c r="J114" s="235">
        <f t="shared" si="27"/>
        <v>167.10460000000012</v>
      </c>
      <c r="K114" s="235">
        <f t="shared" si="24"/>
        <v>2.7850766666666686</v>
      </c>
      <c r="L114" s="235">
        <f t="shared" si="25"/>
        <v>3.2135499999999997</v>
      </c>
      <c r="M114" s="236">
        <f t="shared" si="18"/>
        <v>5.9986266666666683</v>
      </c>
      <c r="N114" s="238"/>
      <c r="O114" s="514"/>
      <c r="P114" s="234" t="s">
        <v>233</v>
      </c>
      <c r="Q114" s="235">
        <f t="shared" si="15"/>
        <v>5470.9717333333538</v>
      </c>
      <c r="R114" s="235">
        <f t="shared" si="19"/>
        <v>91.182862222222568</v>
      </c>
      <c r="S114" s="235">
        <f t="shared" si="14"/>
        <v>85.48393333333334</v>
      </c>
      <c r="T114" s="236">
        <f t="shared" si="20"/>
        <v>176.66679555555589</v>
      </c>
      <c r="U114" s="238"/>
      <c r="V114" s="514"/>
      <c r="W114" s="234" t="s">
        <v>233</v>
      </c>
      <c r="X114" s="235"/>
      <c r="Y114" s="235"/>
      <c r="Z114" s="235"/>
      <c r="AA114" s="236">
        <f t="shared" si="21"/>
        <v>0</v>
      </c>
      <c r="AB114" s="238"/>
      <c r="AC114" s="514"/>
      <c r="AD114" s="234" t="s">
        <v>233</v>
      </c>
      <c r="AE114" s="235"/>
      <c r="AF114" s="235"/>
      <c r="AG114" s="235"/>
      <c r="AH114" s="236">
        <f t="shared" si="22"/>
        <v>0</v>
      </c>
      <c r="AI114" s="238"/>
      <c r="AK114" s="240"/>
    </row>
    <row r="115" spans="1:37" x14ac:dyDescent="0.2">
      <c r="A115" s="514"/>
      <c r="B115" s="234" t="s">
        <v>234</v>
      </c>
      <c r="C115" s="235">
        <f t="shared" si="26"/>
        <v>6438.8238058419502</v>
      </c>
      <c r="D115" s="235">
        <f t="shared" si="23"/>
        <v>107.31373009736585</v>
      </c>
      <c r="E115" s="235">
        <f t="shared" si="16"/>
        <v>128.77647611683864</v>
      </c>
      <c r="F115" s="236">
        <f t="shared" si="17"/>
        <v>236.0902062142045</v>
      </c>
      <c r="G115" s="238"/>
      <c r="H115" s="514"/>
      <c r="I115" s="234" t="s">
        <v>234</v>
      </c>
      <c r="J115" s="235">
        <f t="shared" si="27"/>
        <v>163.89105000000012</v>
      </c>
      <c r="K115" s="235">
        <f t="shared" si="24"/>
        <v>2.731517500000002</v>
      </c>
      <c r="L115" s="235">
        <f t="shared" si="25"/>
        <v>3.2135499999999997</v>
      </c>
      <c r="M115" s="236">
        <f t="shared" si="18"/>
        <v>5.9450675000000022</v>
      </c>
      <c r="N115" s="238"/>
      <c r="O115" s="514"/>
      <c r="P115" s="234" t="s">
        <v>234</v>
      </c>
      <c r="Q115" s="235">
        <f t="shared" si="15"/>
        <v>5385.4878000000208</v>
      </c>
      <c r="R115" s="235">
        <f t="shared" si="19"/>
        <v>89.758130000000349</v>
      </c>
      <c r="S115" s="235">
        <f t="shared" si="14"/>
        <v>85.48393333333334</v>
      </c>
      <c r="T115" s="236">
        <f t="shared" si="20"/>
        <v>175.2420633333337</v>
      </c>
      <c r="U115" s="238"/>
      <c r="V115" s="514"/>
      <c r="W115" s="234" t="s">
        <v>234</v>
      </c>
      <c r="X115" s="235"/>
      <c r="Y115" s="235"/>
      <c r="Z115" s="235"/>
      <c r="AA115" s="236">
        <f t="shared" si="21"/>
        <v>0</v>
      </c>
      <c r="AB115" s="238"/>
      <c r="AC115" s="514"/>
      <c r="AD115" s="234" t="s">
        <v>234</v>
      </c>
      <c r="AE115" s="235"/>
      <c r="AF115" s="235"/>
      <c r="AG115" s="235"/>
      <c r="AH115" s="236">
        <f t="shared" si="22"/>
        <v>0</v>
      </c>
      <c r="AI115" s="238"/>
      <c r="AK115" s="240"/>
    </row>
    <row r="116" spans="1:37" x14ac:dyDescent="0.2">
      <c r="A116" s="514"/>
      <c r="B116" s="234" t="s">
        <v>235</v>
      </c>
      <c r="C116" s="235">
        <f t="shared" si="26"/>
        <v>6310.0473297251119</v>
      </c>
      <c r="D116" s="235">
        <f t="shared" si="23"/>
        <v>105.16745549541854</v>
      </c>
      <c r="E116" s="235">
        <f t="shared" si="16"/>
        <v>128.77647611683864</v>
      </c>
      <c r="F116" s="236">
        <f t="shared" si="17"/>
        <v>233.94393161225719</v>
      </c>
      <c r="G116" s="238"/>
      <c r="H116" s="514"/>
      <c r="I116" s="234" t="s">
        <v>235</v>
      </c>
      <c r="J116" s="235">
        <f t="shared" si="27"/>
        <v>160.67750000000012</v>
      </c>
      <c r="K116" s="235">
        <f t="shared" si="24"/>
        <v>2.6779583333333359</v>
      </c>
      <c r="L116" s="235">
        <f t="shared" si="25"/>
        <v>3.2135499999999997</v>
      </c>
      <c r="M116" s="236">
        <f t="shared" si="18"/>
        <v>5.891508333333336</v>
      </c>
      <c r="N116" s="238"/>
      <c r="O116" s="514"/>
      <c r="P116" s="234" t="s">
        <v>235</v>
      </c>
      <c r="Q116" s="235">
        <f t="shared" si="15"/>
        <v>5300.0038666666878</v>
      </c>
      <c r="R116" s="235">
        <f t="shared" si="19"/>
        <v>88.333397777778131</v>
      </c>
      <c r="S116" s="235">
        <f t="shared" si="14"/>
        <v>85.48393333333334</v>
      </c>
      <c r="T116" s="236">
        <f t="shared" si="20"/>
        <v>173.81733111111146</v>
      </c>
      <c r="U116" s="238"/>
      <c r="V116" s="514"/>
      <c r="W116" s="234" t="s">
        <v>235</v>
      </c>
      <c r="X116" s="235"/>
      <c r="Y116" s="235"/>
      <c r="Z116" s="235"/>
      <c r="AA116" s="236">
        <f t="shared" si="21"/>
        <v>0</v>
      </c>
      <c r="AB116" s="238"/>
      <c r="AC116" s="514"/>
      <c r="AD116" s="234" t="s">
        <v>235</v>
      </c>
      <c r="AE116" s="235"/>
      <c r="AF116" s="235"/>
      <c r="AG116" s="235"/>
      <c r="AH116" s="236">
        <f t="shared" si="22"/>
        <v>0</v>
      </c>
      <c r="AI116" s="238"/>
      <c r="AK116" s="240"/>
    </row>
    <row r="117" spans="1:37" x14ac:dyDescent="0.2">
      <c r="A117" s="515"/>
      <c r="B117" s="234" t="s">
        <v>236</v>
      </c>
      <c r="C117" s="235">
        <f t="shared" si="26"/>
        <v>6181.2708536082737</v>
      </c>
      <c r="D117" s="235">
        <f t="shared" si="23"/>
        <v>103.02118089347124</v>
      </c>
      <c r="E117" s="235">
        <f t="shared" si="16"/>
        <v>128.77647611683864</v>
      </c>
      <c r="F117" s="236">
        <f t="shared" si="17"/>
        <v>231.79765701030988</v>
      </c>
      <c r="G117" s="239">
        <f>SUM(D106:D117)</f>
        <v>1377.9082944501768</v>
      </c>
      <c r="H117" s="515"/>
      <c r="I117" s="234" t="s">
        <v>236</v>
      </c>
      <c r="J117" s="235">
        <f t="shared" si="27"/>
        <v>157.46395000000012</v>
      </c>
      <c r="K117" s="235">
        <f t="shared" si="24"/>
        <v>2.6243991666666688</v>
      </c>
      <c r="L117" s="235">
        <f t="shared" si="25"/>
        <v>3.2135499999999997</v>
      </c>
      <c r="M117" s="236">
        <f t="shared" si="18"/>
        <v>5.8379491666666681</v>
      </c>
      <c r="N117" s="239">
        <f>SUM(K106:K117)</f>
        <v>35.027695000000023</v>
      </c>
      <c r="O117" s="515"/>
      <c r="P117" s="234" t="s">
        <v>236</v>
      </c>
      <c r="Q117" s="235">
        <f t="shared" si="15"/>
        <v>5214.5199333333549</v>
      </c>
      <c r="R117" s="235">
        <f t="shared" si="19"/>
        <v>86.908665555555913</v>
      </c>
      <c r="S117" s="235">
        <f t="shared" si="14"/>
        <v>85.48393333333334</v>
      </c>
      <c r="T117" s="236">
        <f t="shared" si="20"/>
        <v>172.39259888888927</v>
      </c>
      <c r="U117" s="239">
        <f>SUM(R106:R117)</f>
        <v>1136.9363133333372</v>
      </c>
      <c r="V117" s="515"/>
      <c r="W117" s="234" t="s">
        <v>236</v>
      </c>
      <c r="X117" s="235"/>
      <c r="Y117" s="235"/>
      <c r="Z117" s="235"/>
      <c r="AA117" s="236">
        <f t="shared" si="21"/>
        <v>0</v>
      </c>
      <c r="AB117" s="239">
        <f>SUM(Y106:Y117)</f>
        <v>0</v>
      </c>
      <c r="AC117" s="515"/>
      <c r="AD117" s="234" t="s">
        <v>236</v>
      </c>
      <c r="AE117" s="235"/>
      <c r="AF117" s="235"/>
      <c r="AG117" s="235"/>
      <c r="AH117" s="236">
        <f t="shared" si="22"/>
        <v>0</v>
      </c>
      <c r="AI117" s="239">
        <f>SUM(AF106:AF117)</f>
        <v>0</v>
      </c>
      <c r="AJ117" s="208">
        <f>AJ105+1</f>
        <v>2030</v>
      </c>
      <c r="AK117" s="240">
        <f>G117+N117+U117+AB117+AI117</f>
        <v>2549.872302783514</v>
      </c>
    </row>
    <row r="118" spans="1:37" x14ac:dyDescent="0.2">
      <c r="A118" s="513">
        <f>A106+1</f>
        <v>2031</v>
      </c>
      <c r="B118" s="234" t="s">
        <v>225</v>
      </c>
      <c r="C118" s="235">
        <f t="shared" si="26"/>
        <v>6052.4943774914354</v>
      </c>
      <c r="D118" s="235">
        <f t="shared" si="23"/>
        <v>100.87490629152393</v>
      </c>
      <c r="E118" s="235">
        <f t="shared" si="16"/>
        <v>128.77647611683864</v>
      </c>
      <c r="F118" s="236">
        <f t="shared" si="17"/>
        <v>229.65138240836257</v>
      </c>
      <c r="G118" s="237"/>
      <c r="H118" s="513">
        <f>H106+1</f>
        <v>2031</v>
      </c>
      <c r="I118" s="234" t="s">
        <v>225</v>
      </c>
      <c r="J118" s="235">
        <f t="shared" si="27"/>
        <v>154.25040000000013</v>
      </c>
      <c r="K118" s="235">
        <f t="shared" si="24"/>
        <v>2.5708400000000022</v>
      </c>
      <c r="L118" s="235">
        <f t="shared" si="25"/>
        <v>3.2135499999999997</v>
      </c>
      <c r="M118" s="236">
        <f t="shared" si="18"/>
        <v>5.7843900000000019</v>
      </c>
      <c r="N118" s="237"/>
      <c r="O118" s="513">
        <f>O106+1</f>
        <v>2031</v>
      </c>
      <c r="P118" s="234" t="s">
        <v>225</v>
      </c>
      <c r="Q118" s="235">
        <f t="shared" si="15"/>
        <v>5129.0360000000219</v>
      </c>
      <c r="R118" s="235">
        <f t="shared" si="19"/>
        <v>85.483933333333709</v>
      </c>
      <c r="S118" s="235">
        <f t="shared" si="14"/>
        <v>85.48393333333334</v>
      </c>
      <c r="T118" s="236">
        <f t="shared" si="20"/>
        <v>170.96786666666705</v>
      </c>
      <c r="U118" s="237"/>
      <c r="V118" s="513">
        <f>V106+1</f>
        <v>2030</v>
      </c>
      <c r="W118" s="234" t="s">
        <v>225</v>
      </c>
      <c r="X118" s="235"/>
      <c r="Y118" s="235"/>
      <c r="Z118" s="235"/>
      <c r="AA118" s="236">
        <f t="shared" si="21"/>
        <v>0</v>
      </c>
      <c r="AB118" s="237"/>
      <c r="AC118" s="513">
        <f>AC106+1</f>
        <v>2030</v>
      </c>
      <c r="AD118" s="234" t="s">
        <v>225</v>
      </c>
      <c r="AE118" s="235"/>
      <c r="AF118" s="235"/>
      <c r="AG118" s="235"/>
      <c r="AH118" s="236">
        <f t="shared" si="22"/>
        <v>0</v>
      </c>
      <c r="AI118" s="237"/>
      <c r="AK118" s="240"/>
    </row>
    <row r="119" spans="1:37" x14ac:dyDescent="0.2">
      <c r="A119" s="514"/>
      <c r="B119" s="234" t="s">
        <v>226</v>
      </c>
      <c r="C119" s="235">
        <f t="shared" si="26"/>
        <v>5923.7179013745972</v>
      </c>
      <c r="D119" s="235">
        <f t="shared" si="23"/>
        <v>98.728631689576616</v>
      </c>
      <c r="E119" s="235">
        <f t="shared" si="16"/>
        <v>128.77647611683864</v>
      </c>
      <c r="F119" s="236">
        <f t="shared" si="17"/>
        <v>227.50510780641525</v>
      </c>
      <c r="G119" s="238"/>
      <c r="H119" s="514"/>
      <c r="I119" s="234" t="s">
        <v>226</v>
      </c>
      <c r="J119" s="235">
        <f t="shared" si="27"/>
        <v>151.03685000000013</v>
      </c>
      <c r="K119" s="235">
        <f t="shared" si="24"/>
        <v>2.5172808333333356</v>
      </c>
      <c r="L119" s="235">
        <f t="shared" si="25"/>
        <v>3.2135499999999997</v>
      </c>
      <c r="M119" s="236">
        <f t="shared" si="18"/>
        <v>5.7308308333333358</v>
      </c>
      <c r="N119" s="238"/>
      <c r="O119" s="514"/>
      <c r="P119" s="234" t="s">
        <v>226</v>
      </c>
      <c r="Q119" s="235">
        <f t="shared" si="15"/>
        <v>5043.5520666666889</v>
      </c>
      <c r="R119" s="235">
        <f t="shared" si="19"/>
        <v>84.059201111111477</v>
      </c>
      <c r="S119" s="235">
        <f t="shared" si="14"/>
        <v>85.48393333333334</v>
      </c>
      <c r="T119" s="236">
        <f t="shared" si="20"/>
        <v>169.54313444444483</v>
      </c>
      <c r="U119" s="238"/>
      <c r="V119" s="514"/>
      <c r="W119" s="234" t="s">
        <v>226</v>
      </c>
      <c r="X119" s="235"/>
      <c r="Y119" s="235"/>
      <c r="Z119" s="235"/>
      <c r="AA119" s="236">
        <f t="shared" si="21"/>
        <v>0</v>
      </c>
      <c r="AB119" s="238"/>
      <c r="AC119" s="514"/>
      <c r="AD119" s="234" t="s">
        <v>226</v>
      </c>
      <c r="AE119" s="235"/>
      <c r="AF119" s="235"/>
      <c r="AG119" s="235"/>
      <c r="AH119" s="236">
        <f t="shared" si="22"/>
        <v>0</v>
      </c>
      <c r="AI119" s="238"/>
      <c r="AK119" s="240"/>
    </row>
    <row r="120" spans="1:37" x14ac:dyDescent="0.2">
      <c r="A120" s="514"/>
      <c r="B120" s="234" t="s">
        <v>227</v>
      </c>
      <c r="C120" s="235">
        <f t="shared" si="26"/>
        <v>5794.941425257759</v>
      </c>
      <c r="D120" s="235">
        <f t="shared" si="23"/>
        <v>96.582357087629319</v>
      </c>
      <c r="E120" s="235">
        <f t="shared" si="16"/>
        <v>128.77647611683864</v>
      </c>
      <c r="F120" s="236">
        <f t="shared" si="17"/>
        <v>225.35883320446794</v>
      </c>
      <c r="G120" s="238"/>
      <c r="H120" s="514"/>
      <c r="I120" s="234" t="s">
        <v>227</v>
      </c>
      <c r="J120" s="235">
        <f t="shared" si="27"/>
        <v>147.82330000000013</v>
      </c>
      <c r="K120" s="235">
        <f t="shared" si="24"/>
        <v>2.463721666666669</v>
      </c>
      <c r="L120" s="235">
        <f t="shared" si="25"/>
        <v>3.2135499999999997</v>
      </c>
      <c r="M120" s="236">
        <f t="shared" si="18"/>
        <v>5.6772716666666687</v>
      </c>
      <c r="N120" s="238"/>
      <c r="O120" s="514"/>
      <c r="P120" s="234" t="s">
        <v>227</v>
      </c>
      <c r="Q120" s="235">
        <f t="shared" si="15"/>
        <v>4958.0681333333559</v>
      </c>
      <c r="R120" s="235">
        <f t="shared" si="19"/>
        <v>82.634468888889273</v>
      </c>
      <c r="S120" s="235">
        <f t="shared" si="14"/>
        <v>85.48393333333334</v>
      </c>
      <c r="T120" s="236">
        <f t="shared" si="20"/>
        <v>168.11840222222261</v>
      </c>
      <c r="U120" s="238"/>
      <c r="V120" s="514"/>
      <c r="W120" s="234" t="s">
        <v>227</v>
      </c>
      <c r="X120" s="235"/>
      <c r="Y120" s="235"/>
      <c r="Z120" s="235"/>
      <c r="AA120" s="236">
        <f t="shared" si="21"/>
        <v>0</v>
      </c>
      <c r="AB120" s="238"/>
      <c r="AC120" s="514"/>
      <c r="AD120" s="234" t="s">
        <v>227</v>
      </c>
      <c r="AE120" s="235"/>
      <c r="AF120" s="235"/>
      <c r="AG120" s="235"/>
      <c r="AH120" s="236">
        <f t="shared" si="22"/>
        <v>0</v>
      </c>
      <c r="AI120" s="238"/>
      <c r="AK120" s="240"/>
    </row>
    <row r="121" spans="1:37" x14ac:dyDescent="0.2">
      <c r="A121" s="514"/>
      <c r="B121" s="234" t="s">
        <v>228</v>
      </c>
      <c r="C121" s="235">
        <f t="shared" si="26"/>
        <v>5666.1649491409207</v>
      </c>
      <c r="D121" s="235">
        <f t="shared" si="23"/>
        <v>94.436082485682007</v>
      </c>
      <c r="E121" s="235">
        <f t="shared" si="16"/>
        <v>128.77647611683864</v>
      </c>
      <c r="F121" s="236">
        <f t="shared" si="17"/>
        <v>223.21255860252063</v>
      </c>
      <c r="G121" s="238"/>
      <c r="H121" s="514"/>
      <c r="I121" s="234" t="s">
        <v>228</v>
      </c>
      <c r="J121" s="235">
        <f t="shared" si="27"/>
        <v>144.60975000000013</v>
      </c>
      <c r="K121" s="235">
        <f t="shared" si="24"/>
        <v>2.4101625000000024</v>
      </c>
      <c r="L121" s="235">
        <f t="shared" si="25"/>
        <v>3.2135499999999997</v>
      </c>
      <c r="M121" s="236">
        <f t="shared" si="18"/>
        <v>5.6237125000000017</v>
      </c>
      <c r="N121" s="238"/>
      <c r="O121" s="514"/>
      <c r="P121" s="234" t="s">
        <v>228</v>
      </c>
      <c r="Q121" s="235">
        <f t="shared" si="15"/>
        <v>4872.584200000023</v>
      </c>
      <c r="R121" s="235">
        <f t="shared" si="19"/>
        <v>81.209736666667055</v>
      </c>
      <c r="S121" s="235">
        <f t="shared" si="14"/>
        <v>85.48393333333334</v>
      </c>
      <c r="T121" s="236">
        <f t="shared" si="20"/>
        <v>166.6936700000004</v>
      </c>
      <c r="U121" s="238"/>
      <c r="V121" s="514"/>
      <c r="W121" s="234" t="s">
        <v>228</v>
      </c>
      <c r="X121" s="235"/>
      <c r="Y121" s="235"/>
      <c r="Z121" s="235"/>
      <c r="AA121" s="236">
        <f t="shared" si="21"/>
        <v>0</v>
      </c>
      <c r="AB121" s="238"/>
      <c r="AC121" s="514"/>
      <c r="AD121" s="234" t="s">
        <v>228</v>
      </c>
      <c r="AE121" s="235"/>
      <c r="AF121" s="235"/>
      <c r="AG121" s="235"/>
      <c r="AH121" s="236">
        <f t="shared" si="22"/>
        <v>0</v>
      </c>
      <c r="AI121" s="238"/>
      <c r="AK121" s="240"/>
    </row>
    <row r="122" spans="1:37" x14ac:dyDescent="0.2">
      <c r="A122" s="514"/>
      <c r="B122" s="234" t="s">
        <v>229</v>
      </c>
      <c r="C122" s="235">
        <f t="shared" si="26"/>
        <v>5537.3884730240825</v>
      </c>
      <c r="D122" s="235">
        <f t="shared" si="23"/>
        <v>92.289807883734724</v>
      </c>
      <c r="E122" s="235">
        <f t="shared" si="16"/>
        <v>128.77647611683864</v>
      </c>
      <c r="F122" s="236">
        <f t="shared" si="17"/>
        <v>221.06628400057338</v>
      </c>
      <c r="G122" s="238"/>
      <c r="H122" s="514"/>
      <c r="I122" s="234" t="s">
        <v>229</v>
      </c>
      <c r="J122" s="235">
        <f t="shared" si="27"/>
        <v>141.39620000000014</v>
      </c>
      <c r="K122" s="235">
        <f t="shared" si="24"/>
        <v>2.3566033333333358</v>
      </c>
      <c r="L122" s="235">
        <f t="shared" si="25"/>
        <v>3.2135499999999997</v>
      </c>
      <c r="M122" s="236">
        <f t="shared" si="18"/>
        <v>5.5701533333333355</v>
      </c>
      <c r="N122" s="238"/>
      <c r="O122" s="514"/>
      <c r="P122" s="234" t="s">
        <v>229</v>
      </c>
      <c r="Q122" s="235">
        <f t="shared" si="15"/>
        <v>4787.10026666669</v>
      </c>
      <c r="R122" s="235">
        <f t="shared" si="19"/>
        <v>79.785004444444837</v>
      </c>
      <c r="S122" s="235">
        <f t="shared" ref="S122:S177" si="28">$Q$7/R$8</f>
        <v>85.48393333333334</v>
      </c>
      <c r="T122" s="236">
        <f t="shared" si="20"/>
        <v>165.26893777777818</v>
      </c>
      <c r="U122" s="238"/>
      <c r="V122" s="514"/>
      <c r="W122" s="234" t="s">
        <v>229</v>
      </c>
      <c r="X122" s="235"/>
      <c r="Y122" s="235"/>
      <c r="Z122" s="235"/>
      <c r="AA122" s="236">
        <f t="shared" si="21"/>
        <v>0</v>
      </c>
      <c r="AB122" s="238"/>
      <c r="AC122" s="514"/>
      <c r="AD122" s="234" t="s">
        <v>229</v>
      </c>
      <c r="AE122" s="235"/>
      <c r="AF122" s="235"/>
      <c r="AG122" s="235"/>
      <c r="AH122" s="236">
        <f t="shared" si="22"/>
        <v>0</v>
      </c>
      <c r="AI122" s="238"/>
      <c r="AK122" s="240"/>
    </row>
    <row r="123" spans="1:37" x14ac:dyDescent="0.2">
      <c r="A123" s="514"/>
      <c r="B123" s="234" t="s">
        <v>230</v>
      </c>
      <c r="C123" s="235">
        <f t="shared" si="26"/>
        <v>5408.6119969072442</v>
      </c>
      <c r="D123" s="235">
        <f t="shared" si="23"/>
        <v>90.143533281787413</v>
      </c>
      <c r="E123" s="235">
        <f t="shared" si="16"/>
        <v>128.77647611683864</v>
      </c>
      <c r="F123" s="236">
        <f t="shared" si="17"/>
        <v>218.92000939862606</v>
      </c>
      <c r="G123" s="238"/>
      <c r="H123" s="514"/>
      <c r="I123" s="234" t="s">
        <v>230</v>
      </c>
      <c r="J123" s="235">
        <f t="shared" si="27"/>
        <v>138.18265000000014</v>
      </c>
      <c r="K123" s="235">
        <f t="shared" si="24"/>
        <v>2.3030441666666692</v>
      </c>
      <c r="L123" s="235">
        <f t="shared" si="25"/>
        <v>3.2135499999999997</v>
      </c>
      <c r="M123" s="236">
        <f t="shared" si="18"/>
        <v>5.5165941666666694</v>
      </c>
      <c r="N123" s="238"/>
      <c r="O123" s="514"/>
      <c r="P123" s="234" t="s">
        <v>230</v>
      </c>
      <c r="Q123" s="235">
        <f t="shared" si="15"/>
        <v>4701.616333333357</v>
      </c>
      <c r="R123" s="235">
        <f t="shared" si="19"/>
        <v>78.360272222222619</v>
      </c>
      <c r="S123" s="235">
        <f t="shared" si="28"/>
        <v>85.48393333333334</v>
      </c>
      <c r="T123" s="236">
        <f t="shared" si="20"/>
        <v>163.84420555555596</v>
      </c>
      <c r="U123" s="238"/>
      <c r="V123" s="514"/>
      <c r="W123" s="234" t="s">
        <v>230</v>
      </c>
      <c r="X123" s="235"/>
      <c r="Y123" s="235"/>
      <c r="Z123" s="235"/>
      <c r="AA123" s="236">
        <f t="shared" si="21"/>
        <v>0</v>
      </c>
      <c r="AB123" s="238"/>
      <c r="AC123" s="514"/>
      <c r="AD123" s="234" t="s">
        <v>230</v>
      </c>
      <c r="AE123" s="235"/>
      <c r="AF123" s="235"/>
      <c r="AG123" s="235"/>
      <c r="AH123" s="236">
        <f t="shared" si="22"/>
        <v>0</v>
      </c>
      <c r="AI123" s="238"/>
      <c r="AK123" s="240"/>
    </row>
    <row r="124" spans="1:37" x14ac:dyDescent="0.2">
      <c r="A124" s="514"/>
      <c r="B124" s="234" t="s">
        <v>231</v>
      </c>
      <c r="C124" s="235">
        <f t="shared" si="26"/>
        <v>5279.835520790406</v>
      </c>
      <c r="D124" s="235">
        <f t="shared" si="23"/>
        <v>87.997258679840101</v>
      </c>
      <c r="E124" s="235">
        <f t="shared" si="16"/>
        <v>128.77647611683864</v>
      </c>
      <c r="F124" s="236">
        <f t="shared" si="17"/>
        <v>216.77373479667875</v>
      </c>
      <c r="G124" s="238"/>
      <c r="H124" s="514"/>
      <c r="I124" s="234" t="s">
        <v>231</v>
      </c>
      <c r="J124" s="235">
        <f t="shared" si="27"/>
        <v>134.96910000000014</v>
      </c>
      <c r="K124" s="235">
        <f t="shared" si="24"/>
        <v>2.2494850000000022</v>
      </c>
      <c r="L124" s="235">
        <f t="shared" si="25"/>
        <v>3.2135499999999997</v>
      </c>
      <c r="M124" s="236">
        <f t="shared" si="18"/>
        <v>5.4630350000000014</v>
      </c>
      <c r="N124" s="238"/>
      <c r="O124" s="514"/>
      <c r="P124" s="234" t="s">
        <v>231</v>
      </c>
      <c r="Q124" s="235">
        <f t="shared" ref="Q124:Q177" si="29">Q123-S123</f>
        <v>4616.1324000000241</v>
      </c>
      <c r="R124" s="235">
        <f t="shared" si="19"/>
        <v>76.935540000000401</v>
      </c>
      <c r="S124" s="235">
        <f t="shared" si="28"/>
        <v>85.48393333333334</v>
      </c>
      <c r="T124" s="236">
        <f t="shared" si="20"/>
        <v>162.41947333333374</v>
      </c>
      <c r="U124" s="238"/>
      <c r="V124" s="514"/>
      <c r="W124" s="234" t="s">
        <v>231</v>
      </c>
      <c r="X124" s="235"/>
      <c r="Y124" s="235"/>
      <c r="Z124" s="235"/>
      <c r="AA124" s="236">
        <f t="shared" si="21"/>
        <v>0</v>
      </c>
      <c r="AB124" s="238"/>
      <c r="AC124" s="514"/>
      <c r="AD124" s="234" t="s">
        <v>231</v>
      </c>
      <c r="AE124" s="235"/>
      <c r="AF124" s="235"/>
      <c r="AG124" s="235"/>
      <c r="AH124" s="236">
        <f t="shared" si="22"/>
        <v>0</v>
      </c>
      <c r="AI124" s="238"/>
      <c r="AK124" s="240"/>
    </row>
    <row r="125" spans="1:37" x14ac:dyDescent="0.2">
      <c r="A125" s="514"/>
      <c r="B125" s="234" t="s">
        <v>232</v>
      </c>
      <c r="C125" s="235">
        <f t="shared" si="26"/>
        <v>5151.0590446735678</v>
      </c>
      <c r="D125" s="235">
        <f t="shared" si="23"/>
        <v>85.850984077892804</v>
      </c>
      <c r="E125" s="235">
        <f t="shared" si="16"/>
        <v>128.77647611683864</v>
      </c>
      <c r="F125" s="236">
        <f t="shared" si="17"/>
        <v>214.62746019473144</v>
      </c>
      <c r="G125" s="238"/>
      <c r="H125" s="514"/>
      <c r="I125" s="234" t="s">
        <v>232</v>
      </c>
      <c r="J125" s="235">
        <f t="shared" si="27"/>
        <v>131.75555000000014</v>
      </c>
      <c r="K125" s="235">
        <f t="shared" si="24"/>
        <v>2.195925833333336</v>
      </c>
      <c r="L125" s="235">
        <f t="shared" si="25"/>
        <v>3.2135499999999997</v>
      </c>
      <c r="M125" s="236">
        <f t="shared" si="18"/>
        <v>5.4094758333333353</v>
      </c>
      <c r="N125" s="238"/>
      <c r="O125" s="514"/>
      <c r="P125" s="234" t="s">
        <v>232</v>
      </c>
      <c r="Q125" s="235">
        <f t="shared" si="29"/>
        <v>4530.6484666666911</v>
      </c>
      <c r="R125" s="235">
        <f t="shared" si="19"/>
        <v>75.510807777778197</v>
      </c>
      <c r="S125" s="235">
        <f t="shared" si="28"/>
        <v>85.48393333333334</v>
      </c>
      <c r="T125" s="236">
        <f t="shared" si="20"/>
        <v>160.99474111111152</v>
      </c>
      <c r="U125" s="238"/>
      <c r="V125" s="514"/>
      <c r="W125" s="234" t="s">
        <v>232</v>
      </c>
      <c r="X125" s="235"/>
      <c r="Y125" s="235"/>
      <c r="Z125" s="235"/>
      <c r="AA125" s="236">
        <f t="shared" si="21"/>
        <v>0</v>
      </c>
      <c r="AB125" s="238"/>
      <c r="AC125" s="514"/>
      <c r="AD125" s="234" t="s">
        <v>232</v>
      </c>
      <c r="AE125" s="235"/>
      <c r="AF125" s="235"/>
      <c r="AG125" s="235"/>
      <c r="AH125" s="236">
        <f t="shared" si="22"/>
        <v>0</v>
      </c>
      <c r="AI125" s="238"/>
      <c r="AK125" s="240"/>
    </row>
    <row r="126" spans="1:37" x14ac:dyDescent="0.2">
      <c r="A126" s="514"/>
      <c r="B126" s="234" t="s">
        <v>233</v>
      </c>
      <c r="C126" s="235">
        <f t="shared" si="26"/>
        <v>5022.2825685567295</v>
      </c>
      <c r="D126" s="235">
        <f t="shared" si="23"/>
        <v>83.704709475945492</v>
      </c>
      <c r="E126" s="235">
        <f t="shared" si="16"/>
        <v>128.77647611683864</v>
      </c>
      <c r="F126" s="236">
        <f t="shared" si="17"/>
        <v>212.48118559278413</v>
      </c>
      <c r="G126" s="238"/>
      <c r="H126" s="514"/>
      <c r="I126" s="234" t="s">
        <v>233</v>
      </c>
      <c r="J126" s="235">
        <f t="shared" si="27"/>
        <v>128.54200000000014</v>
      </c>
      <c r="K126" s="235">
        <f t="shared" si="24"/>
        <v>2.142366666666669</v>
      </c>
      <c r="L126" s="235">
        <f t="shared" si="25"/>
        <v>3.2135499999999997</v>
      </c>
      <c r="M126" s="236">
        <f t="shared" si="18"/>
        <v>5.3559166666666691</v>
      </c>
      <c r="N126" s="238"/>
      <c r="O126" s="514"/>
      <c r="P126" s="234" t="s">
        <v>233</v>
      </c>
      <c r="Q126" s="235">
        <f t="shared" si="29"/>
        <v>4445.1645333333581</v>
      </c>
      <c r="R126" s="235">
        <f t="shared" si="19"/>
        <v>74.086075555555979</v>
      </c>
      <c r="S126" s="235">
        <f t="shared" si="28"/>
        <v>85.48393333333334</v>
      </c>
      <c r="T126" s="236">
        <f t="shared" si="20"/>
        <v>159.57000888888933</v>
      </c>
      <c r="U126" s="238"/>
      <c r="V126" s="514"/>
      <c r="W126" s="234" t="s">
        <v>233</v>
      </c>
      <c r="X126" s="235"/>
      <c r="Y126" s="235"/>
      <c r="Z126" s="235"/>
      <c r="AA126" s="236">
        <f t="shared" si="21"/>
        <v>0</v>
      </c>
      <c r="AB126" s="238"/>
      <c r="AC126" s="514"/>
      <c r="AD126" s="234" t="s">
        <v>233</v>
      </c>
      <c r="AE126" s="235"/>
      <c r="AF126" s="235"/>
      <c r="AG126" s="235"/>
      <c r="AH126" s="236">
        <f t="shared" si="22"/>
        <v>0</v>
      </c>
      <c r="AI126" s="238"/>
      <c r="AK126" s="240"/>
    </row>
    <row r="127" spans="1:37" x14ac:dyDescent="0.2">
      <c r="A127" s="514"/>
      <c r="B127" s="234" t="s">
        <v>234</v>
      </c>
      <c r="C127" s="235">
        <f t="shared" si="26"/>
        <v>4893.5060924398913</v>
      </c>
      <c r="D127" s="235">
        <f t="shared" si="23"/>
        <v>81.558434873998195</v>
      </c>
      <c r="E127" s="235">
        <f t="shared" si="16"/>
        <v>128.77647611683864</v>
      </c>
      <c r="F127" s="236">
        <f t="shared" si="17"/>
        <v>210.33491099083682</v>
      </c>
      <c r="G127" s="238"/>
      <c r="H127" s="514"/>
      <c r="I127" s="234" t="s">
        <v>234</v>
      </c>
      <c r="J127" s="235">
        <f t="shared" si="27"/>
        <v>125.32845000000015</v>
      </c>
      <c r="K127" s="235">
        <f t="shared" si="24"/>
        <v>2.0888075000000028</v>
      </c>
      <c r="L127" s="235">
        <f t="shared" si="25"/>
        <v>3.2135499999999997</v>
      </c>
      <c r="M127" s="236">
        <f t="shared" si="18"/>
        <v>5.3023575000000029</v>
      </c>
      <c r="N127" s="238"/>
      <c r="O127" s="514"/>
      <c r="P127" s="234" t="s">
        <v>234</v>
      </c>
      <c r="Q127" s="235">
        <f t="shared" si="29"/>
        <v>4359.6806000000252</v>
      </c>
      <c r="R127" s="235">
        <f t="shared" si="19"/>
        <v>72.661343333333761</v>
      </c>
      <c r="S127" s="235">
        <f t="shared" si="28"/>
        <v>85.48393333333334</v>
      </c>
      <c r="T127" s="236">
        <f t="shared" si="20"/>
        <v>158.14527666666709</v>
      </c>
      <c r="U127" s="238"/>
      <c r="V127" s="514"/>
      <c r="W127" s="234" t="s">
        <v>234</v>
      </c>
      <c r="X127" s="235"/>
      <c r="Y127" s="235"/>
      <c r="Z127" s="235"/>
      <c r="AA127" s="236">
        <f t="shared" si="21"/>
        <v>0</v>
      </c>
      <c r="AB127" s="238"/>
      <c r="AC127" s="514"/>
      <c r="AD127" s="234" t="s">
        <v>234</v>
      </c>
      <c r="AE127" s="235"/>
      <c r="AF127" s="235"/>
      <c r="AG127" s="235"/>
      <c r="AH127" s="236">
        <f t="shared" si="22"/>
        <v>0</v>
      </c>
      <c r="AI127" s="238"/>
      <c r="AK127" s="240"/>
    </row>
    <row r="128" spans="1:37" x14ac:dyDescent="0.2">
      <c r="A128" s="514"/>
      <c r="B128" s="234" t="s">
        <v>235</v>
      </c>
      <c r="C128" s="235">
        <f t="shared" si="26"/>
        <v>4764.7296163230531</v>
      </c>
      <c r="D128" s="235">
        <f t="shared" si="23"/>
        <v>79.412160272050883</v>
      </c>
      <c r="E128" s="235">
        <f t="shared" si="16"/>
        <v>128.77647611683864</v>
      </c>
      <c r="F128" s="236">
        <f t="shared" si="17"/>
        <v>208.18863638888951</v>
      </c>
      <c r="G128" s="238"/>
      <c r="H128" s="514"/>
      <c r="I128" s="234" t="s">
        <v>235</v>
      </c>
      <c r="J128" s="235">
        <f t="shared" si="27"/>
        <v>122.11490000000015</v>
      </c>
      <c r="K128" s="235">
        <f t="shared" si="24"/>
        <v>2.0352483333333358</v>
      </c>
      <c r="L128" s="235">
        <f t="shared" si="25"/>
        <v>3.2135499999999997</v>
      </c>
      <c r="M128" s="236">
        <f t="shared" si="18"/>
        <v>5.248798333333335</v>
      </c>
      <c r="N128" s="238"/>
      <c r="O128" s="514"/>
      <c r="P128" s="234" t="s">
        <v>235</v>
      </c>
      <c r="Q128" s="235">
        <f t="shared" si="29"/>
        <v>4274.1966666666922</v>
      </c>
      <c r="R128" s="235">
        <f t="shared" si="19"/>
        <v>71.236611111111543</v>
      </c>
      <c r="S128" s="235">
        <f t="shared" si="28"/>
        <v>85.48393333333334</v>
      </c>
      <c r="T128" s="236">
        <f t="shared" si="20"/>
        <v>156.7205444444449</v>
      </c>
      <c r="U128" s="238"/>
      <c r="V128" s="514"/>
      <c r="W128" s="234" t="s">
        <v>235</v>
      </c>
      <c r="X128" s="235"/>
      <c r="Y128" s="235"/>
      <c r="Z128" s="235"/>
      <c r="AA128" s="236">
        <f t="shared" si="21"/>
        <v>0</v>
      </c>
      <c r="AB128" s="238"/>
      <c r="AC128" s="514"/>
      <c r="AD128" s="234" t="s">
        <v>235</v>
      </c>
      <c r="AE128" s="235"/>
      <c r="AF128" s="235"/>
      <c r="AG128" s="235"/>
      <c r="AH128" s="236">
        <f t="shared" si="22"/>
        <v>0</v>
      </c>
      <c r="AI128" s="238"/>
      <c r="AK128" s="240"/>
    </row>
    <row r="129" spans="1:37" x14ac:dyDescent="0.2">
      <c r="A129" s="515"/>
      <c r="B129" s="234" t="s">
        <v>236</v>
      </c>
      <c r="C129" s="235">
        <f t="shared" si="26"/>
        <v>4635.9531402062148</v>
      </c>
      <c r="D129" s="235">
        <f t="shared" si="23"/>
        <v>77.265885670103586</v>
      </c>
      <c r="E129" s="235">
        <f t="shared" si="16"/>
        <v>128.77647611683864</v>
      </c>
      <c r="F129" s="236">
        <f t="shared" si="17"/>
        <v>206.04236178694222</v>
      </c>
      <c r="G129" s="239">
        <f>SUM(D118:D129)</f>
        <v>1068.844751769765</v>
      </c>
      <c r="H129" s="515"/>
      <c r="I129" s="234" t="s">
        <v>236</v>
      </c>
      <c r="J129" s="235">
        <f t="shared" si="27"/>
        <v>118.90135000000015</v>
      </c>
      <c r="K129" s="235">
        <f t="shared" si="24"/>
        <v>1.9816891666666692</v>
      </c>
      <c r="L129" s="235">
        <f t="shared" si="25"/>
        <v>3.2135499999999997</v>
      </c>
      <c r="M129" s="236">
        <f t="shared" si="18"/>
        <v>5.1952391666666689</v>
      </c>
      <c r="N129" s="238">
        <f>SUM(K118:K129)</f>
        <v>27.315175000000028</v>
      </c>
      <c r="O129" s="515"/>
      <c r="P129" s="234" t="s">
        <v>236</v>
      </c>
      <c r="Q129" s="235">
        <f t="shared" si="29"/>
        <v>4188.7127333333592</v>
      </c>
      <c r="R129" s="235">
        <f t="shared" si="19"/>
        <v>69.811878888889325</v>
      </c>
      <c r="S129" s="235">
        <f t="shared" si="28"/>
        <v>85.48393333333334</v>
      </c>
      <c r="T129" s="236">
        <f t="shared" si="20"/>
        <v>155.29581222222265</v>
      </c>
      <c r="U129" s="238">
        <f>SUM(R118:R129)</f>
        <v>931.77487333333806</v>
      </c>
      <c r="V129" s="515"/>
      <c r="W129" s="234" t="s">
        <v>236</v>
      </c>
      <c r="X129" s="235"/>
      <c r="Y129" s="235"/>
      <c r="Z129" s="235"/>
      <c r="AA129" s="236">
        <f t="shared" si="21"/>
        <v>0</v>
      </c>
      <c r="AB129" s="238">
        <f>SUM(Y118:Y129)</f>
        <v>0</v>
      </c>
      <c r="AC129" s="515"/>
      <c r="AD129" s="234" t="s">
        <v>236</v>
      </c>
      <c r="AE129" s="235"/>
      <c r="AF129" s="235"/>
      <c r="AG129" s="235"/>
      <c r="AH129" s="236">
        <f t="shared" si="22"/>
        <v>0</v>
      </c>
      <c r="AI129" s="238">
        <f>SUM(AF118:AF129)</f>
        <v>0</v>
      </c>
      <c r="AJ129" s="208">
        <f>AJ117+1</f>
        <v>2031</v>
      </c>
      <c r="AK129" s="240">
        <f>G129+N129+U129+AB129+AI129</f>
        <v>2027.934800103103</v>
      </c>
    </row>
    <row r="130" spans="1:37" x14ac:dyDescent="0.2">
      <c r="A130" s="513">
        <f>A118+1</f>
        <v>2032</v>
      </c>
      <c r="B130" s="234" t="s">
        <v>225</v>
      </c>
      <c r="C130" s="235">
        <f t="shared" si="26"/>
        <v>4507.1766640893766</v>
      </c>
      <c r="D130" s="235">
        <f t="shared" si="23"/>
        <v>75.119611068156289</v>
      </c>
      <c r="E130" s="235">
        <f t="shared" si="16"/>
        <v>128.77647611683864</v>
      </c>
      <c r="F130" s="236">
        <f>D130+E130</f>
        <v>203.89608718499494</v>
      </c>
      <c r="G130" s="239"/>
      <c r="H130" s="512">
        <f>H118+1</f>
        <v>2032</v>
      </c>
      <c r="I130" s="234" t="s">
        <v>225</v>
      </c>
      <c r="J130" s="235">
        <f t="shared" si="27"/>
        <v>115.68780000000015</v>
      </c>
      <c r="K130" s="235">
        <f t="shared" si="24"/>
        <v>1.9281300000000028</v>
      </c>
      <c r="L130" s="235">
        <f t="shared" si="25"/>
        <v>3.2135499999999997</v>
      </c>
      <c r="M130" s="236">
        <f t="shared" si="18"/>
        <v>5.1416800000000027</v>
      </c>
      <c r="N130" s="237"/>
      <c r="O130" s="519">
        <f>O118+1</f>
        <v>2032</v>
      </c>
      <c r="P130" s="234" t="s">
        <v>225</v>
      </c>
      <c r="Q130" s="235">
        <f t="shared" si="29"/>
        <v>4103.2288000000262</v>
      </c>
      <c r="R130" s="235">
        <f t="shared" si="19"/>
        <v>68.387146666667107</v>
      </c>
      <c r="S130" s="235">
        <f t="shared" si="28"/>
        <v>85.48393333333334</v>
      </c>
      <c r="T130" s="247">
        <f t="shared" si="20"/>
        <v>153.87108000000046</v>
      </c>
      <c r="U130" s="237"/>
      <c r="V130" s="519">
        <f>V118+1</f>
        <v>2031</v>
      </c>
      <c r="W130" s="234" t="s">
        <v>225</v>
      </c>
      <c r="X130" s="235"/>
      <c r="Y130" s="235"/>
      <c r="Z130" s="235"/>
      <c r="AA130" s="247">
        <f t="shared" si="21"/>
        <v>0</v>
      </c>
      <c r="AB130" s="237"/>
      <c r="AC130" s="519">
        <f>AC118+1</f>
        <v>2031</v>
      </c>
      <c r="AD130" s="234" t="s">
        <v>225</v>
      </c>
      <c r="AE130" s="235"/>
      <c r="AF130" s="235"/>
      <c r="AG130" s="235"/>
      <c r="AH130" s="247">
        <f t="shared" si="22"/>
        <v>0</v>
      </c>
      <c r="AI130" s="237"/>
      <c r="AK130" s="240"/>
    </row>
    <row r="131" spans="1:37" x14ac:dyDescent="0.2">
      <c r="A131" s="514"/>
      <c r="B131" s="234" t="s">
        <v>226</v>
      </c>
      <c r="C131" s="235">
        <f t="shared" si="26"/>
        <v>4378.4001879725383</v>
      </c>
      <c r="D131" s="235">
        <f t="shared" si="23"/>
        <v>72.973336466208977</v>
      </c>
      <c r="E131" s="235">
        <f t="shared" si="16"/>
        <v>128.77647611683864</v>
      </c>
      <c r="F131" s="236">
        <f>D131+E131</f>
        <v>201.74981258304763</v>
      </c>
      <c r="G131" s="239"/>
      <c r="H131" s="512"/>
      <c r="I131" s="234" t="s">
        <v>226</v>
      </c>
      <c r="J131" s="235">
        <f t="shared" si="27"/>
        <v>112.47425000000015</v>
      </c>
      <c r="K131" s="235">
        <f t="shared" si="24"/>
        <v>1.874570833333336</v>
      </c>
      <c r="L131" s="235">
        <f t="shared" si="25"/>
        <v>3.2135499999999997</v>
      </c>
      <c r="M131" s="247">
        <f t="shared" si="18"/>
        <v>5.0881208333333356</v>
      </c>
      <c r="N131" s="238"/>
      <c r="O131" s="520"/>
      <c r="P131" s="234" t="s">
        <v>226</v>
      </c>
      <c r="Q131" s="235">
        <f t="shared" si="29"/>
        <v>4017.7448666666928</v>
      </c>
      <c r="R131" s="235">
        <f t="shared" si="19"/>
        <v>66.962414444444889</v>
      </c>
      <c r="S131" s="235">
        <f t="shared" si="28"/>
        <v>85.48393333333334</v>
      </c>
      <c r="T131" s="247">
        <f t="shared" si="20"/>
        <v>152.44634777777821</v>
      </c>
      <c r="U131" s="238"/>
      <c r="V131" s="520"/>
      <c r="W131" s="234" t="s">
        <v>226</v>
      </c>
      <c r="X131" s="235"/>
      <c r="Y131" s="235"/>
      <c r="Z131" s="235"/>
      <c r="AA131" s="247">
        <f t="shared" si="21"/>
        <v>0</v>
      </c>
      <c r="AB131" s="238"/>
      <c r="AC131" s="520"/>
      <c r="AD131" s="234" t="s">
        <v>226</v>
      </c>
      <c r="AE131" s="235"/>
      <c r="AF131" s="235"/>
      <c r="AG131" s="235"/>
      <c r="AH131" s="247">
        <f t="shared" si="22"/>
        <v>0</v>
      </c>
      <c r="AI131" s="238"/>
      <c r="AK131" s="240"/>
    </row>
    <row r="132" spans="1:37" x14ac:dyDescent="0.2">
      <c r="A132" s="514"/>
      <c r="B132" s="234" t="s">
        <v>227</v>
      </c>
      <c r="C132" s="235">
        <f t="shared" si="26"/>
        <v>4249.6237118557001</v>
      </c>
      <c r="D132" s="235">
        <f t="shared" si="23"/>
        <v>70.827061864261665</v>
      </c>
      <c r="E132" s="235">
        <f t="shared" si="16"/>
        <v>128.77647611683864</v>
      </c>
      <c r="F132" s="236">
        <f>D132+E132</f>
        <v>199.60353798110032</v>
      </c>
      <c r="G132" s="239"/>
      <c r="H132" s="512"/>
      <c r="I132" s="234" t="s">
        <v>227</v>
      </c>
      <c r="J132" s="235">
        <f t="shared" si="27"/>
        <v>109.26070000000016</v>
      </c>
      <c r="K132" s="235">
        <f t="shared" si="24"/>
        <v>1.8210116666666696</v>
      </c>
      <c r="L132" s="235">
        <f t="shared" si="25"/>
        <v>3.2135499999999997</v>
      </c>
      <c r="M132" s="247">
        <f t="shared" si="18"/>
        <v>5.0345616666666695</v>
      </c>
      <c r="N132" s="238"/>
      <c r="O132" s="520"/>
      <c r="P132" s="234" t="s">
        <v>227</v>
      </c>
      <c r="Q132" s="235">
        <f t="shared" si="29"/>
        <v>3932.2609333333594</v>
      </c>
      <c r="R132" s="235">
        <f t="shared" si="19"/>
        <v>65.537682222222656</v>
      </c>
      <c r="S132" s="235">
        <f t="shared" si="28"/>
        <v>85.48393333333334</v>
      </c>
      <c r="T132" s="247">
        <f t="shared" si="20"/>
        <v>151.021615555556</v>
      </c>
      <c r="U132" s="238"/>
      <c r="V132" s="520"/>
      <c r="W132" s="234" t="s">
        <v>227</v>
      </c>
      <c r="X132" s="235"/>
      <c r="Y132" s="235"/>
      <c r="Z132" s="235"/>
      <c r="AA132" s="247">
        <f t="shared" si="21"/>
        <v>0</v>
      </c>
      <c r="AB132" s="238"/>
      <c r="AC132" s="520"/>
      <c r="AD132" s="234" t="s">
        <v>227</v>
      </c>
      <c r="AE132" s="235"/>
      <c r="AF132" s="235"/>
      <c r="AG132" s="235"/>
      <c r="AH132" s="247">
        <f t="shared" si="22"/>
        <v>0</v>
      </c>
      <c r="AI132" s="238"/>
      <c r="AK132" s="240"/>
    </row>
    <row r="133" spans="1:37" x14ac:dyDescent="0.2">
      <c r="A133" s="514"/>
      <c r="B133" s="234" t="s">
        <v>228</v>
      </c>
      <c r="C133" s="235">
        <f t="shared" si="26"/>
        <v>4120.8472357388619</v>
      </c>
      <c r="D133" s="235">
        <f t="shared" si="23"/>
        <v>68.680787262314368</v>
      </c>
      <c r="E133" s="235">
        <f t="shared" ref="E133:E164" si="30">$C$68/($D$8-23)</f>
        <v>128.77647611683864</v>
      </c>
      <c r="F133" s="236">
        <f>D133+E133</f>
        <v>197.45726337915301</v>
      </c>
      <c r="G133" s="239"/>
      <c r="H133" s="512"/>
      <c r="I133" s="234" t="s">
        <v>228</v>
      </c>
      <c r="J133" s="235">
        <f t="shared" si="27"/>
        <v>106.04715000000016</v>
      </c>
      <c r="K133" s="235">
        <f t="shared" si="24"/>
        <v>1.7674525000000028</v>
      </c>
      <c r="L133" s="235">
        <f t="shared" si="25"/>
        <v>3.2135499999999997</v>
      </c>
      <c r="M133" s="247">
        <f t="shared" si="18"/>
        <v>4.9810025000000024</v>
      </c>
      <c r="N133" s="238"/>
      <c r="O133" s="520"/>
      <c r="P133" s="234" t="s">
        <v>228</v>
      </c>
      <c r="Q133" s="235">
        <f t="shared" si="29"/>
        <v>3846.777000000026</v>
      </c>
      <c r="R133" s="235">
        <f t="shared" si="19"/>
        <v>64.112950000000438</v>
      </c>
      <c r="S133" s="235">
        <f t="shared" si="28"/>
        <v>85.48393333333334</v>
      </c>
      <c r="T133" s="247">
        <f t="shared" si="20"/>
        <v>149.59688333333378</v>
      </c>
      <c r="U133" s="238"/>
      <c r="V133" s="520"/>
      <c r="W133" s="234" t="s">
        <v>228</v>
      </c>
      <c r="X133" s="235"/>
      <c r="Y133" s="235"/>
      <c r="Z133" s="235"/>
      <c r="AA133" s="247">
        <f t="shared" si="21"/>
        <v>0</v>
      </c>
      <c r="AB133" s="238"/>
      <c r="AC133" s="520"/>
      <c r="AD133" s="234" t="s">
        <v>228</v>
      </c>
      <c r="AE133" s="235"/>
      <c r="AF133" s="235"/>
      <c r="AG133" s="235"/>
      <c r="AH133" s="247">
        <f t="shared" si="22"/>
        <v>0</v>
      </c>
      <c r="AI133" s="238"/>
      <c r="AK133" s="240"/>
    </row>
    <row r="134" spans="1:37" x14ac:dyDescent="0.2">
      <c r="A134" s="514"/>
      <c r="B134" s="234" t="s">
        <v>229</v>
      </c>
      <c r="C134" s="235">
        <f t="shared" si="26"/>
        <v>3992.0707596220232</v>
      </c>
      <c r="D134" s="235">
        <f t="shared" si="23"/>
        <v>66.534512660367056</v>
      </c>
      <c r="E134" s="235">
        <f t="shared" si="30"/>
        <v>128.77647611683864</v>
      </c>
      <c r="F134" s="236">
        <f>D134+E134</f>
        <v>195.31098877720569</v>
      </c>
      <c r="G134" s="239"/>
      <c r="H134" s="512"/>
      <c r="I134" s="234" t="s">
        <v>229</v>
      </c>
      <c r="J134" s="235">
        <f t="shared" si="27"/>
        <v>102.83360000000016</v>
      </c>
      <c r="K134" s="235">
        <f t="shared" si="24"/>
        <v>1.7138933333333359</v>
      </c>
      <c r="L134" s="235">
        <f t="shared" si="25"/>
        <v>3.2135499999999997</v>
      </c>
      <c r="M134" s="247">
        <f t="shared" si="18"/>
        <v>4.9274433333333354</v>
      </c>
      <c r="N134" s="238"/>
      <c r="O134" s="520"/>
      <c r="P134" s="234" t="s">
        <v>229</v>
      </c>
      <c r="Q134" s="235">
        <f t="shared" si="29"/>
        <v>3761.2930666666925</v>
      </c>
      <c r="R134" s="235">
        <f t="shared" si="19"/>
        <v>62.688217777778213</v>
      </c>
      <c r="S134" s="235">
        <f t="shared" si="28"/>
        <v>85.48393333333334</v>
      </c>
      <c r="T134" s="247">
        <f t="shared" si="20"/>
        <v>148.17215111111156</v>
      </c>
      <c r="U134" s="238"/>
      <c r="V134" s="520"/>
      <c r="W134" s="234" t="s">
        <v>229</v>
      </c>
      <c r="X134" s="235"/>
      <c r="Y134" s="235"/>
      <c r="Z134" s="235"/>
      <c r="AA134" s="247">
        <f t="shared" si="21"/>
        <v>0</v>
      </c>
      <c r="AB134" s="238"/>
      <c r="AC134" s="520"/>
      <c r="AD134" s="234" t="s">
        <v>229</v>
      </c>
      <c r="AE134" s="235"/>
      <c r="AF134" s="235"/>
      <c r="AG134" s="235"/>
      <c r="AH134" s="247">
        <f t="shared" si="22"/>
        <v>0</v>
      </c>
      <c r="AI134" s="238"/>
      <c r="AK134" s="240"/>
    </row>
    <row r="135" spans="1:37" x14ac:dyDescent="0.2">
      <c r="A135" s="514"/>
      <c r="B135" s="234" t="s">
        <v>230</v>
      </c>
      <c r="C135" s="235">
        <f t="shared" si="26"/>
        <v>3863.2942835051845</v>
      </c>
      <c r="D135" s="235">
        <f t="shared" si="23"/>
        <v>64.388238058419745</v>
      </c>
      <c r="E135" s="235">
        <f t="shared" si="30"/>
        <v>128.77647611683864</v>
      </c>
      <c r="F135" s="236">
        <f t="shared" ref="F135:F140" si="31">D135+E135</f>
        <v>193.16471417525838</v>
      </c>
      <c r="G135" s="239"/>
      <c r="H135" s="512"/>
      <c r="I135" s="234" t="s">
        <v>230</v>
      </c>
      <c r="J135" s="235">
        <f t="shared" si="27"/>
        <v>99.620050000000163</v>
      </c>
      <c r="K135" s="235">
        <f t="shared" si="24"/>
        <v>1.6603341666666696</v>
      </c>
      <c r="L135" s="235">
        <f t="shared" si="25"/>
        <v>3.2135499999999997</v>
      </c>
      <c r="M135" s="247">
        <f t="shared" si="18"/>
        <v>4.8738841666666692</v>
      </c>
      <c r="N135" s="238"/>
      <c r="O135" s="520"/>
      <c r="P135" s="234" t="s">
        <v>230</v>
      </c>
      <c r="Q135" s="235">
        <f t="shared" si="29"/>
        <v>3675.8091333333591</v>
      </c>
      <c r="R135" s="235">
        <f t="shared" si="19"/>
        <v>61.263485555555995</v>
      </c>
      <c r="S135" s="235">
        <f t="shared" si="28"/>
        <v>85.48393333333334</v>
      </c>
      <c r="T135" s="247">
        <f t="shared" si="20"/>
        <v>146.74741888888934</v>
      </c>
      <c r="U135" s="238"/>
      <c r="V135" s="520"/>
      <c r="W135" s="234" t="s">
        <v>230</v>
      </c>
      <c r="X135" s="235"/>
      <c r="Y135" s="235"/>
      <c r="Z135" s="235"/>
      <c r="AA135" s="247">
        <f t="shared" si="21"/>
        <v>0</v>
      </c>
      <c r="AB135" s="238"/>
      <c r="AC135" s="520"/>
      <c r="AD135" s="234" t="s">
        <v>230</v>
      </c>
      <c r="AE135" s="235"/>
      <c r="AF135" s="235"/>
      <c r="AG135" s="235"/>
      <c r="AH135" s="247">
        <f t="shared" si="22"/>
        <v>0</v>
      </c>
      <c r="AI135" s="238"/>
      <c r="AK135" s="240"/>
    </row>
    <row r="136" spans="1:37" x14ac:dyDescent="0.2">
      <c r="A136" s="514"/>
      <c r="B136" s="234" t="s">
        <v>231</v>
      </c>
      <c r="C136" s="235">
        <f t="shared" si="26"/>
        <v>3734.5178073883458</v>
      </c>
      <c r="D136" s="235">
        <f t="shared" si="23"/>
        <v>62.241963456472433</v>
      </c>
      <c r="E136" s="235">
        <f t="shared" si="30"/>
        <v>128.77647611683864</v>
      </c>
      <c r="F136" s="236">
        <f t="shared" si="31"/>
        <v>191.01843957331107</v>
      </c>
      <c r="G136" s="239"/>
      <c r="H136" s="512"/>
      <c r="I136" s="234" t="s">
        <v>231</v>
      </c>
      <c r="J136" s="235">
        <f t="shared" si="27"/>
        <v>96.406500000000165</v>
      </c>
      <c r="K136" s="235">
        <f t="shared" si="24"/>
        <v>1.6067750000000027</v>
      </c>
      <c r="L136" s="235">
        <f t="shared" si="25"/>
        <v>3.2135499999999997</v>
      </c>
      <c r="M136" s="247">
        <f t="shared" si="18"/>
        <v>4.8203250000000022</v>
      </c>
      <c r="N136" s="238"/>
      <c r="O136" s="520"/>
      <c r="P136" s="234" t="s">
        <v>231</v>
      </c>
      <c r="Q136" s="235">
        <f t="shared" si="29"/>
        <v>3590.3252000000257</v>
      </c>
      <c r="R136" s="235">
        <f t="shared" si="19"/>
        <v>59.838753333333763</v>
      </c>
      <c r="S136" s="235">
        <f t="shared" si="28"/>
        <v>85.48393333333334</v>
      </c>
      <c r="T136" s="247">
        <f t="shared" si="20"/>
        <v>145.3226866666671</v>
      </c>
      <c r="U136" s="238"/>
      <c r="V136" s="520"/>
      <c r="W136" s="234" t="s">
        <v>231</v>
      </c>
      <c r="X136" s="235"/>
      <c r="Y136" s="235"/>
      <c r="Z136" s="235"/>
      <c r="AA136" s="247">
        <f t="shared" si="21"/>
        <v>0</v>
      </c>
      <c r="AB136" s="238"/>
      <c r="AC136" s="520"/>
      <c r="AD136" s="234" t="s">
        <v>231</v>
      </c>
      <c r="AE136" s="235"/>
      <c r="AF136" s="235"/>
      <c r="AG136" s="235"/>
      <c r="AH136" s="247">
        <f t="shared" si="22"/>
        <v>0</v>
      </c>
      <c r="AI136" s="238"/>
      <c r="AK136" s="240"/>
    </row>
    <row r="137" spans="1:37" x14ac:dyDescent="0.2">
      <c r="A137" s="514"/>
      <c r="B137" s="234" t="s">
        <v>232</v>
      </c>
      <c r="C137" s="235">
        <f t="shared" si="26"/>
        <v>3605.7413312715071</v>
      </c>
      <c r="D137" s="235">
        <f t="shared" si="23"/>
        <v>60.095688854525122</v>
      </c>
      <c r="E137" s="235">
        <f t="shared" si="30"/>
        <v>128.77647611683864</v>
      </c>
      <c r="F137" s="236">
        <f t="shared" si="31"/>
        <v>188.87216497136376</v>
      </c>
      <c r="G137" s="239"/>
      <c r="H137" s="512"/>
      <c r="I137" s="234" t="s">
        <v>232</v>
      </c>
      <c r="J137" s="235">
        <f t="shared" si="27"/>
        <v>93.192950000000167</v>
      </c>
      <c r="K137" s="235">
        <f t="shared" si="24"/>
        <v>1.5532158333333361</v>
      </c>
      <c r="L137" s="235">
        <f t="shared" si="25"/>
        <v>3.2135499999999997</v>
      </c>
      <c r="M137" s="247">
        <f t="shared" si="18"/>
        <v>4.766765833333336</v>
      </c>
      <c r="N137" s="238"/>
      <c r="O137" s="520"/>
      <c r="P137" s="234" t="s">
        <v>232</v>
      </c>
      <c r="Q137" s="235">
        <f t="shared" si="29"/>
        <v>3504.8412666666923</v>
      </c>
      <c r="R137" s="235">
        <f t="shared" si="19"/>
        <v>58.414021111111538</v>
      </c>
      <c r="S137" s="235">
        <f t="shared" si="28"/>
        <v>85.48393333333334</v>
      </c>
      <c r="T137" s="247">
        <f t="shared" si="20"/>
        <v>143.89795444444488</v>
      </c>
      <c r="U137" s="238"/>
      <c r="V137" s="520"/>
      <c r="W137" s="234" t="s">
        <v>232</v>
      </c>
      <c r="X137" s="235"/>
      <c r="Y137" s="235"/>
      <c r="Z137" s="235"/>
      <c r="AA137" s="247">
        <f t="shared" si="21"/>
        <v>0</v>
      </c>
      <c r="AB137" s="238"/>
      <c r="AC137" s="520"/>
      <c r="AD137" s="234" t="s">
        <v>232</v>
      </c>
      <c r="AE137" s="235"/>
      <c r="AF137" s="235"/>
      <c r="AG137" s="235"/>
      <c r="AH137" s="247">
        <f t="shared" si="22"/>
        <v>0</v>
      </c>
      <c r="AI137" s="238"/>
      <c r="AK137" s="240"/>
    </row>
    <row r="138" spans="1:37" x14ac:dyDescent="0.2">
      <c r="A138" s="514"/>
      <c r="B138" s="234" t="s">
        <v>233</v>
      </c>
      <c r="C138" s="235">
        <f t="shared" si="26"/>
        <v>3476.9648551546684</v>
      </c>
      <c r="D138" s="235">
        <f t="shared" si="23"/>
        <v>57.94941425257781</v>
      </c>
      <c r="E138" s="235">
        <f t="shared" si="30"/>
        <v>128.77647611683864</v>
      </c>
      <c r="F138" s="236">
        <f t="shared" si="31"/>
        <v>186.72589036941645</v>
      </c>
      <c r="G138" s="239"/>
      <c r="H138" s="512"/>
      <c r="I138" s="234" t="s">
        <v>233</v>
      </c>
      <c r="J138" s="235">
        <f t="shared" si="27"/>
        <v>89.979400000000169</v>
      </c>
      <c r="K138" s="235">
        <f t="shared" si="24"/>
        <v>1.4996566666666695</v>
      </c>
      <c r="L138" s="235">
        <f t="shared" si="25"/>
        <v>3.2135499999999997</v>
      </c>
      <c r="M138" s="247">
        <f t="shared" si="18"/>
        <v>4.713206666666669</v>
      </c>
      <c r="N138" s="238"/>
      <c r="O138" s="520"/>
      <c r="P138" s="234" t="s">
        <v>233</v>
      </c>
      <c r="Q138" s="235">
        <f t="shared" si="29"/>
        <v>3419.3573333333588</v>
      </c>
      <c r="R138" s="235">
        <f t="shared" si="19"/>
        <v>56.98928888888932</v>
      </c>
      <c r="S138" s="235">
        <f t="shared" si="28"/>
        <v>85.48393333333334</v>
      </c>
      <c r="T138" s="247">
        <f t="shared" si="20"/>
        <v>142.47322222222266</v>
      </c>
      <c r="U138" s="238"/>
      <c r="V138" s="520"/>
      <c r="W138" s="234" t="s">
        <v>233</v>
      </c>
      <c r="X138" s="235"/>
      <c r="Y138" s="235"/>
      <c r="Z138" s="235"/>
      <c r="AA138" s="247">
        <f t="shared" si="21"/>
        <v>0</v>
      </c>
      <c r="AB138" s="238"/>
      <c r="AC138" s="520"/>
      <c r="AD138" s="234" t="s">
        <v>233</v>
      </c>
      <c r="AE138" s="235"/>
      <c r="AF138" s="235"/>
      <c r="AG138" s="235"/>
      <c r="AH138" s="247">
        <f t="shared" si="22"/>
        <v>0</v>
      </c>
      <c r="AI138" s="238"/>
      <c r="AK138" s="240"/>
    </row>
    <row r="139" spans="1:37" x14ac:dyDescent="0.2">
      <c r="A139" s="514"/>
      <c r="B139" s="234" t="s">
        <v>234</v>
      </c>
      <c r="C139" s="235">
        <f t="shared" si="26"/>
        <v>3348.1883790378297</v>
      </c>
      <c r="D139" s="235">
        <f t="shared" si="23"/>
        <v>55.803139650630499</v>
      </c>
      <c r="E139" s="235">
        <f t="shared" si="30"/>
        <v>128.77647611683864</v>
      </c>
      <c r="F139" s="236">
        <f t="shared" si="31"/>
        <v>184.57961576746914</v>
      </c>
      <c r="G139" s="239"/>
      <c r="H139" s="512"/>
      <c r="I139" s="234" t="s">
        <v>234</v>
      </c>
      <c r="J139" s="235">
        <f t="shared" si="27"/>
        <v>86.765850000000171</v>
      </c>
      <c r="K139" s="235">
        <f t="shared" si="24"/>
        <v>1.4460975000000029</v>
      </c>
      <c r="L139" s="235">
        <f t="shared" si="25"/>
        <v>3.2135499999999997</v>
      </c>
      <c r="M139" s="247">
        <f t="shared" si="18"/>
        <v>4.6596475000000028</v>
      </c>
      <c r="N139" s="238"/>
      <c r="O139" s="520"/>
      <c r="P139" s="234" t="s">
        <v>234</v>
      </c>
      <c r="Q139" s="235">
        <f t="shared" si="29"/>
        <v>3333.8734000000254</v>
      </c>
      <c r="R139" s="235">
        <f t="shared" si="19"/>
        <v>55.564556666667094</v>
      </c>
      <c r="S139" s="235">
        <f t="shared" si="28"/>
        <v>85.48393333333334</v>
      </c>
      <c r="T139" s="247">
        <f t="shared" si="20"/>
        <v>141.04849000000044</v>
      </c>
      <c r="U139" s="238"/>
      <c r="V139" s="520"/>
      <c r="W139" s="234" t="s">
        <v>234</v>
      </c>
      <c r="X139" s="235"/>
      <c r="Y139" s="235"/>
      <c r="Z139" s="235"/>
      <c r="AA139" s="247">
        <f t="shared" si="21"/>
        <v>0</v>
      </c>
      <c r="AB139" s="238"/>
      <c r="AC139" s="520"/>
      <c r="AD139" s="234" t="s">
        <v>234</v>
      </c>
      <c r="AE139" s="235"/>
      <c r="AF139" s="235"/>
      <c r="AG139" s="235"/>
      <c r="AH139" s="247">
        <f t="shared" si="22"/>
        <v>0</v>
      </c>
      <c r="AI139" s="238"/>
      <c r="AK139" s="240"/>
    </row>
    <row r="140" spans="1:37" x14ac:dyDescent="0.2">
      <c r="A140" s="514"/>
      <c r="B140" s="234" t="s">
        <v>235</v>
      </c>
      <c r="C140" s="235">
        <f t="shared" si="26"/>
        <v>3219.411902920991</v>
      </c>
      <c r="D140" s="235">
        <f t="shared" si="23"/>
        <v>53.656865048683187</v>
      </c>
      <c r="E140" s="235">
        <f t="shared" si="30"/>
        <v>128.77647611683864</v>
      </c>
      <c r="F140" s="236">
        <f t="shared" si="31"/>
        <v>182.43334116552182</v>
      </c>
      <c r="G140" s="239"/>
      <c r="H140" s="512"/>
      <c r="I140" s="234" t="s">
        <v>235</v>
      </c>
      <c r="J140" s="235">
        <f t="shared" si="27"/>
        <v>83.552300000000173</v>
      </c>
      <c r="K140" s="235">
        <f t="shared" si="24"/>
        <v>1.3925383333333363</v>
      </c>
      <c r="L140" s="235">
        <f t="shared" si="25"/>
        <v>3.2135499999999997</v>
      </c>
      <c r="M140" s="247">
        <f t="shared" si="18"/>
        <v>4.6060883333333358</v>
      </c>
      <c r="N140" s="238"/>
      <c r="O140" s="520"/>
      <c r="P140" s="234" t="s">
        <v>235</v>
      </c>
      <c r="Q140" s="235">
        <f t="shared" si="29"/>
        <v>3248.389466666692</v>
      </c>
      <c r="R140" s="235">
        <f t="shared" si="19"/>
        <v>54.139824444444876</v>
      </c>
      <c r="S140" s="235">
        <f t="shared" si="28"/>
        <v>85.48393333333334</v>
      </c>
      <c r="T140" s="247">
        <f t="shared" si="20"/>
        <v>139.62375777777822</v>
      </c>
      <c r="U140" s="238"/>
      <c r="V140" s="520"/>
      <c r="W140" s="234" t="s">
        <v>235</v>
      </c>
      <c r="X140" s="235"/>
      <c r="Y140" s="235"/>
      <c r="Z140" s="235"/>
      <c r="AA140" s="247">
        <f t="shared" si="21"/>
        <v>0</v>
      </c>
      <c r="AB140" s="238"/>
      <c r="AC140" s="520"/>
      <c r="AD140" s="234" t="s">
        <v>235</v>
      </c>
      <c r="AE140" s="235"/>
      <c r="AF140" s="235"/>
      <c r="AG140" s="235"/>
      <c r="AH140" s="247">
        <f t="shared" si="22"/>
        <v>0</v>
      </c>
      <c r="AI140" s="238"/>
      <c r="AK140" s="240"/>
    </row>
    <row r="141" spans="1:37" x14ac:dyDescent="0.2">
      <c r="A141" s="515"/>
      <c r="B141" s="234" t="s">
        <v>236</v>
      </c>
      <c r="C141" s="235">
        <f t="shared" si="26"/>
        <v>3090.6354268041523</v>
      </c>
      <c r="D141" s="235">
        <f t="shared" si="23"/>
        <v>51.510590446735876</v>
      </c>
      <c r="E141" s="235">
        <f t="shared" si="30"/>
        <v>128.77647611683864</v>
      </c>
      <c r="F141" s="236">
        <f>D141+E141</f>
        <v>180.28706656357451</v>
      </c>
      <c r="G141" s="239">
        <f>SUM(D130:D141)</f>
        <v>759.78120908935307</v>
      </c>
      <c r="H141" s="512"/>
      <c r="I141" s="234" t="s">
        <v>236</v>
      </c>
      <c r="J141" s="235">
        <f t="shared" si="27"/>
        <v>80.338750000000175</v>
      </c>
      <c r="K141" s="235">
        <f t="shared" si="24"/>
        <v>1.3389791666666697</v>
      </c>
      <c r="L141" s="235">
        <f t="shared" si="25"/>
        <v>3.2135499999999997</v>
      </c>
      <c r="M141" s="247">
        <f t="shared" si="18"/>
        <v>4.5525291666666696</v>
      </c>
      <c r="N141" s="238">
        <f>SUM(K130:K141)</f>
        <v>19.602655000000038</v>
      </c>
      <c r="O141" s="521"/>
      <c r="P141" s="234" t="s">
        <v>236</v>
      </c>
      <c r="Q141" s="235">
        <f t="shared" si="29"/>
        <v>3162.9055333333586</v>
      </c>
      <c r="R141" s="235">
        <f t="shared" si="19"/>
        <v>52.715092222222644</v>
      </c>
      <c r="S141" s="235">
        <f t="shared" si="28"/>
        <v>85.48393333333334</v>
      </c>
      <c r="T141" s="247">
        <f t="shared" si="20"/>
        <v>138.19902555555598</v>
      </c>
      <c r="U141" s="238">
        <f>SUM(R130:R141)</f>
        <v>726.61343333333855</v>
      </c>
      <c r="V141" s="521"/>
      <c r="W141" s="234" t="s">
        <v>236</v>
      </c>
      <c r="X141" s="235"/>
      <c r="Y141" s="235"/>
      <c r="Z141" s="235"/>
      <c r="AA141" s="247">
        <f t="shared" si="21"/>
        <v>0</v>
      </c>
      <c r="AB141" s="238">
        <f>SUM(Y130:Y141)</f>
        <v>0</v>
      </c>
      <c r="AC141" s="521"/>
      <c r="AD141" s="234" t="s">
        <v>236</v>
      </c>
      <c r="AE141" s="235"/>
      <c r="AF141" s="235"/>
      <c r="AG141" s="235"/>
      <c r="AH141" s="247">
        <f t="shared" si="22"/>
        <v>0</v>
      </c>
      <c r="AI141" s="238">
        <f>SUM(AF130:AF141)</f>
        <v>0</v>
      </c>
      <c r="AJ141" s="208">
        <f>AJ129+1</f>
        <v>2032</v>
      </c>
      <c r="AK141" s="240">
        <f>G141+N141+U141+AB141+AI141</f>
        <v>1505.9972974226916</v>
      </c>
    </row>
    <row r="142" spans="1:37" x14ac:dyDescent="0.2">
      <c r="A142" s="513">
        <f>A130+1</f>
        <v>2033</v>
      </c>
      <c r="B142" s="234" t="s">
        <v>225</v>
      </c>
      <c r="C142" s="235">
        <f t="shared" si="26"/>
        <v>2961.8589506873136</v>
      </c>
      <c r="D142" s="235">
        <f t="shared" si="23"/>
        <v>49.364315844788564</v>
      </c>
      <c r="E142" s="235">
        <f t="shared" si="30"/>
        <v>128.77647611683864</v>
      </c>
      <c r="F142" s="236">
        <f t="shared" ref="F142:F152" si="32">D142+E142</f>
        <v>178.1407919616272</v>
      </c>
      <c r="G142" s="239"/>
      <c r="H142" s="512">
        <f>H130+1</f>
        <v>2033</v>
      </c>
      <c r="I142" s="234" t="s">
        <v>225</v>
      </c>
      <c r="J142" s="235">
        <f t="shared" si="27"/>
        <v>77.125200000000177</v>
      </c>
      <c r="K142" s="235">
        <f t="shared" si="24"/>
        <v>1.2854200000000031</v>
      </c>
      <c r="L142" s="235">
        <f t="shared" si="25"/>
        <v>3.2135499999999997</v>
      </c>
      <c r="M142" s="247">
        <f t="shared" si="18"/>
        <v>4.4989700000000026</v>
      </c>
      <c r="N142" s="237"/>
      <c r="O142" s="519">
        <f>O130+1</f>
        <v>2033</v>
      </c>
      <c r="P142" s="234" t="s">
        <v>225</v>
      </c>
      <c r="Q142" s="235">
        <f t="shared" si="29"/>
        <v>3077.4216000000251</v>
      </c>
      <c r="R142" s="235">
        <f t="shared" si="19"/>
        <v>51.290360000000419</v>
      </c>
      <c r="S142" s="235">
        <f t="shared" si="28"/>
        <v>85.48393333333334</v>
      </c>
      <c r="T142" s="247">
        <f t="shared" si="20"/>
        <v>136.77429333333376</v>
      </c>
      <c r="U142" s="237"/>
      <c r="V142" s="519">
        <v>2032</v>
      </c>
      <c r="W142" s="234" t="s">
        <v>225</v>
      </c>
      <c r="X142" s="235"/>
      <c r="Y142" s="235"/>
      <c r="Z142" s="235"/>
      <c r="AA142" s="247">
        <f t="shared" si="21"/>
        <v>0</v>
      </c>
      <c r="AB142" s="237"/>
      <c r="AC142" s="519">
        <v>2032</v>
      </c>
      <c r="AD142" s="234" t="s">
        <v>225</v>
      </c>
      <c r="AE142" s="235"/>
      <c r="AF142" s="235"/>
      <c r="AG142" s="235"/>
      <c r="AH142" s="247">
        <f t="shared" si="22"/>
        <v>0</v>
      </c>
      <c r="AI142" s="237"/>
      <c r="AK142" s="240"/>
    </row>
    <row r="143" spans="1:37" x14ac:dyDescent="0.2">
      <c r="A143" s="514"/>
      <c r="B143" s="234" t="s">
        <v>226</v>
      </c>
      <c r="C143" s="235">
        <f t="shared" si="26"/>
        <v>2833.0824745704749</v>
      </c>
      <c r="D143" s="235">
        <f t="shared" si="23"/>
        <v>47.218041242841252</v>
      </c>
      <c r="E143" s="235">
        <f t="shared" si="30"/>
        <v>128.77647611683864</v>
      </c>
      <c r="F143" s="236">
        <f t="shared" si="32"/>
        <v>175.99451735967989</v>
      </c>
      <c r="G143" s="239"/>
      <c r="H143" s="512"/>
      <c r="I143" s="234" t="s">
        <v>226</v>
      </c>
      <c r="J143" s="235">
        <f t="shared" si="27"/>
        <v>73.911650000000179</v>
      </c>
      <c r="K143" s="235">
        <f t="shared" si="24"/>
        <v>1.2318608333333365</v>
      </c>
      <c r="L143" s="235">
        <f t="shared" si="25"/>
        <v>3.2135499999999997</v>
      </c>
      <c r="M143" s="247">
        <f t="shared" si="18"/>
        <v>4.4454108333333364</v>
      </c>
      <c r="N143" s="238"/>
      <c r="O143" s="520"/>
      <c r="P143" s="234" t="s">
        <v>226</v>
      </c>
      <c r="Q143" s="235">
        <f t="shared" si="29"/>
        <v>2991.9376666666917</v>
      </c>
      <c r="R143" s="235">
        <f t="shared" si="19"/>
        <v>49.865627777778201</v>
      </c>
      <c r="S143" s="235">
        <f t="shared" si="28"/>
        <v>85.48393333333334</v>
      </c>
      <c r="T143" s="247">
        <f t="shared" si="20"/>
        <v>135.34956111111154</v>
      </c>
      <c r="U143" s="238"/>
      <c r="V143" s="520"/>
      <c r="W143" s="234" t="s">
        <v>226</v>
      </c>
      <c r="X143" s="235"/>
      <c r="Y143" s="235"/>
      <c r="Z143" s="235"/>
      <c r="AA143" s="247">
        <f t="shared" si="21"/>
        <v>0</v>
      </c>
      <c r="AB143" s="238"/>
      <c r="AC143" s="520"/>
      <c r="AD143" s="234" t="s">
        <v>226</v>
      </c>
      <c r="AE143" s="235"/>
      <c r="AF143" s="235"/>
      <c r="AG143" s="235"/>
      <c r="AH143" s="247">
        <f t="shared" si="22"/>
        <v>0</v>
      </c>
      <c r="AI143" s="238"/>
      <c r="AK143" s="240"/>
    </row>
    <row r="144" spans="1:37" x14ac:dyDescent="0.2">
      <c r="A144" s="514"/>
      <c r="B144" s="234" t="s">
        <v>227</v>
      </c>
      <c r="C144" s="235">
        <f t="shared" si="26"/>
        <v>2704.3059984536362</v>
      </c>
      <c r="D144" s="235">
        <f t="shared" si="23"/>
        <v>45.071766640893941</v>
      </c>
      <c r="E144" s="235">
        <f t="shared" si="30"/>
        <v>128.77647611683864</v>
      </c>
      <c r="F144" s="236">
        <f t="shared" si="32"/>
        <v>173.84824275773258</v>
      </c>
      <c r="G144" s="239"/>
      <c r="H144" s="512"/>
      <c r="I144" s="234" t="s">
        <v>227</v>
      </c>
      <c r="J144" s="235">
        <f t="shared" si="27"/>
        <v>70.698100000000181</v>
      </c>
      <c r="K144" s="235">
        <f t="shared" si="24"/>
        <v>1.1783016666666697</v>
      </c>
      <c r="L144" s="235">
        <f t="shared" si="25"/>
        <v>3.2135499999999997</v>
      </c>
      <c r="M144" s="247">
        <f t="shared" si="18"/>
        <v>4.3918516666666694</v>
      </c>
      <c r="N144" s="238"/>
      <c r="O144" s="520"/>
      <c r="P144" s="234" t="s">
        <v>227</v>
      </c>
      <c r="Q144" s="235">
        <f t="shared" si="29"/>
        <v>2906.4537333333583</v>
      </c>
      <c r="R144" s="235">
        <f t="shared" si="19"/>
        <v>48.440895555555976</v>
      </c>
      <c r="S144" s="235">
        <f t="shared" si="28"/>
        <v>85.48393333333334</v>
      </c>
      <c r="T144" s="247">
        <f t="shared" si="20"/>
        <v>133.92482888888932</v>
      </c>
      <c r="U144" s="238"/>
      <c r="V144" s="520"/>
      <c r="W144" s="234" t="s">
        <v>227</v>
      </c>
      <c r="X144" s="235"/>
      <c r="Y144" s="235"/>
      <c r="Z144" s="235"/>
      <c r="AA144" s="247">
        <f t="shared" si="21"/>
        <v>0</v>
      </c>
      <c r="AB144" s="238"/>
      <c r="AC144" s="520"/>
      <c r="AD144" s="234" t="s">
        <v>227</v>
      </c>
      <c r="AE144" s="235"/>
      <c r="AF144" s="235"/>
      <c r="AG144" s="235"/>
      <c r="AH144" s="247">
        <f t="shared" si="22"/>
        <v>0</v>
      </c>
      <c r="AI144" s="238"/>
      <c r="AK144" s="240"/>
    </row>
    <row r="145" spans="1:37" x14ac:dyDescent="0.2">
      <c r="A145" s="514"/>
      <c r="B145" s="234" t="s">
        <v>228</v>
      </c>
      <c r="C145" s="235">
        <f t="shared" si="26"/>
        <v>2575.5295223367975</v>
      </c>
      <c r="D145" s="235">
        <f t="shared" si="23"/>
        <v>42.925492038946629</v>
      </c>
      <c r="E145" s="235">
        <f t="shared" si="30"/>
        <v>128.77647611683864</v>
      </c>
      <c r="F145" s="236">
        <f t="shared" si="32"/>
        <v>171.70196815578527</v>
      </c>
      <c r="G145" s="239"/>
      <c r="H145" s="512"/>
      <c r="I145" s="234" t="s">
        <v>228</v>
      </c>
      <c r="J145" s="235">
        <f t="shared" si="27"/>
        <v>67.484550000000183</v>
      </c>
      <c r="K145" s="235">
        <f t="shared" si="24"/>
        <v>1.1247425000000031</v>
      </c>
      <c r="L145" s="235">
        <f t="shared" si="25"/>
        <v>3.2135499999999997</v>
      </c>
      <c r="M145" s="247">
        <f t="shared" si="18"/>
        <v>4.3382925000000032</v>
      </c>
      <c r="N145" s="238"/>
      <c r="O145" s="520"/>
      <c r="P145" s="234" t="s">
        <v>228</v>
      </c>
      <c r="Q145" s="235">
        <f t="shared" si="29"/>
        <v>2820.9698000000249</v>
      </c>
      <c r="R145" s="235">
        <f t="shared" si="19"/>
        <v>47.016163333333743</v>
      </c>
      <c r="S145" s="235">
        <f t="shared" si="28"/>
        <v>85.48393333333334</v>
      </c>
      <c r="T145" s="247">
        <f t="shared" si="20"/>
        <v>132.50009666666708</v>
      </c>
      <c r="U145" s="238"/>
      <c r="V145" s="520"/>
      <c r="W145" s="234" t="s">
        <v>228</v>
      </c>
      <c r="X145" s="235"/>
      <c r="Y145" s="235"/>
      <c r="Z145" s="235"/>
      <c r="AA145" s="247">
        <f t="shared" si="21"/>
        <v>0</v>
      </c>
      <c r="AB145" s="238"/>
      <c r="AC145" s="520"/>
      <c r="AD145" s="234" t="s">
        <v>228</v>
      </c>
      <c r="AE145" s="235"/>
      <c r="AF145" s="235"/>
      <c r="AG145" s="235"/>
      <c r="AH145" s="247">
        <f t="shared" si="22"/>
        <v>0</v>
      </c>
      <c r="AI145" s="238"/>
      <c r="AK145" s="240"/>
    </row>
    <row r="146" spans="1:37" x14ac:dyDescent="0.2">
      <c r="A146" s="514"/>
      <c r="B146" s="234" t="s">
        <v>229</v>
      </c>
      <c r="C146" s="235">
        <f t="shared" si="26"/>
        <v>2446.7530462199588</v>
      </c>
      <c r="D146" s="235">
        <f t="shared" si="23"/>
        <v>40.779217436999318</v>
      </c>
      <c r="E146" s="235">
        <f t="shared" si="30"/>
        <v>128.77647611683864</v>
      </c>
      <c r="F146" s="236">
        <f t="shared" si="32"/>
        <v>169.55569355383795</v>
      </c>
      <c r="G146" s="239"/>
      <c r="H146" s="512"/>
      <c r="I146" s="234" t="s">
        <v>229</v>
      </c>
      <c r="J146" s="235">
        <f t="shared" si="27"/>
        <v>64.271000000000186</v>
      </c>
      <c r="K146" s="235">
        <f t="shared" si="24"/>
        <v>1.0711833333333365</v>
      </c>
      <c r="L146" s="235">
        <f t="shared" si="25"/>
        <v>3.2135499999999997</v>
      </c>
      <c r="M146" s="247">
        <f t="shared" si="18"/>
        <v>4.2847333333333362</v>
      </c>
      <c r="N146" s="238"/>
      <c r="O146" s="520"/>
      <c r="P146" s="234" t="s">
        <v>229</v>
      </c>
      <c r="Q146" s="235">
        <f t="shared" si="29"/>
        <v>2735.4858666666914</v>
      </c>
      <c r="R146" s="235">
        <f t="shared" si="19"/>
        <v>45.591431111111525</v>
      </c>
      <c r="S146" s="235">
        <f t="shared" si="28"/>
        <v>85.48393333333334</v>
      </c>
      <c r="T146" s="247">
        <f t="shared" si="20"/>
        <v>131.07536444444486</v>
      </c>
      <c r="U146" s="238"/>
      <c r="V146" s="520"/>
      <c r="W146" s="234" t="s">
        <v>229</v>
      </c>
      <c r="X146" s="235"/>
      <c r="Y146" s="235"/>
      <c r="Z146" s="235"/>
      <c r="AA146" s="247">
        <f t="shared" si="21"/>
        <v>0</v>
      </c>
      <c r="AB146" s="238"/>
      <c r="AC146" s="520"/>
      <c r="AD146" s="234" t="s">
        <v>229</v>
      </c>
      <c r="AE146" s="235"/>
      <c r="AF146" s="235"/>
      <c r="AG146" s="235"/>
      <c r="AH146" s="247">
        <f t="shared" si="22"/>
        <v>0</v>
      </c>
      <c r="AI146" s="238"/>
      <c r="AK146" s="240"/>
    </row>
    <row r="147" spans="1:37" x14ac:dyDescent="0.2">
      <c r="A147" s="514"/>
      <c r="B147" s="234" t="s">
        <v>230</v>
      </c>
      <c r="C147" s="235">
        <f t="shared" si="26"/>
        <v>2317.9765701031201</v>
      </c>
      <c r="D147" s="235">
        <f t="shared" si="23"/>
        <v>38.632942835052006</v>
      </c>
      <c r="E147" s="235">
        <f t="shared" si="30"/>
        <v>128.77647611683864</v>
      </c>
      <c r="F147" s="236">
        <f t="shared" si="32"/>
        <v>167.40941895189064</v>
      </c>
      <c r="G147" s="239"/>
      <c r="H147" s="512"/>
      <c r="I147" s="234" t="s">
        <v>230</v>
      </c>
      <c r="J147" s="235">
        <f t="shared" si="27"/>
        <v>61.057450000000188</v>
      </c>
      <c r="K147" s="235">
        <f t="shared" si="24"/>
        <v>1.0176241666666699</v>
      </c>
      <c r="L147" s="235">
        <f t="shared" si="25"/>
        <v>3.2135499999999997</v>
      </c>
      <c r="M147" s="247">
        <f t="shared" si="18"/>
        <v>4.2311741666666691</v>
      </c>
      <c r="N147" s="238"/>
      <c r="O147" s="520"/>
      <c r="P147" s="234" t="s">
        <v>230</v>
      </c>
      <c r="Q147" s="235">
        <f t="shared" si="29"/>
        <v>2650.001933333358</v>
      </c>
      <c r="R147" s="235">
        <f t="shared" si="19"/>
        <v>44.1666988888893</v>
      </c>
      <c r="S147" s="235">
        <f t="shared" si="28"/>
        <v>85.48393333333334</v>
      </c>
      <c r="T147" s="247">
        <f t="shared" si="20"/>
        <v>129.65063222222264</v>
      </c>
      <c r="U147" s="238"/>
      <c r="V147" s="520"/>
      <c r="W147" s="234" t="s">
        <v>230</v>
      </c>
      <c r="X147" s="235"/>
      <c r="Y147" s="235"/>
      <c r="Z147" s="235"/>
      <c r="AA147" s="247">
        <f t="shared" si="21"/>
        <v>0</v>
      </c>
      <c r="AB147" s="238"/>
      <c r="AC147" s="520"/>
      <c r="AD147" s="234" t="s">
        <v>230</v>
      </c>
      <c r="AE147" s="235"/>
      <c r="AF147" s="235"/>
      <c r="AG147" s="235"/>
      <c r="AH147" s="247">
        <f t="shared" si="22"/>
        <v>0</v>
      </c>
      <c r="AI147" s="238"/>
      <c r="AK147" s="240"/>
    </row>
    <row r="148" spans="1:37" x14ac:dyDescent="0.2">
      <c r="A148" s="514"/>
      <c r="B148" s="234" t="s">
        <v>231</v>
      </c>
      <c r="C148" s="235">
        <f t="shared" si="26"/>
        <v>2189.2000939862814</v>
      </c>
      <c r="D148" s="235">
        <f t="shared" si="23"/>
        <v>36.486668233104695</v>
      </c>
      <c r="E148" s="235">
        <f t="shared" si="30"/>
        <v>128.77647611683864</v>
      </c>
      <c r="F148" s="236">
        <f t="shared" si="32"/>
        <v>165.26314434994333</v>
      </c>
      <c r="G148" s="239"/>
      <c r="H148" s="512"/>
      <c r="I148" s="234" t="s">
        <v>231</v>
      </c>
      <c r="J148" s="235">
        <f t="shared" si="27"/>
        <v>57.84390000000019</v>
      </c>
      <c r="K148" s="235">
        <f t="shared" si="24"/>
        <v>0.96406500000000328</v>
      </c>
      <c r="L148" s="235">
        <f t="shared" si="25"/>
        <v>3.2135499999999997</v>
      </c>
      <c r="M148" s="247">
        <f t="shared" si="18"/>
        <v>4.177615000000003</v>
      </c>
      <c r="N148" s="238"/>
      <c r="O148" s="520"/>
      <c r="P148" s="234" t="s">
        <v>231</v>
      </c>
      <c r="Q148" s="235">
        <f t="shared" si="29"/>
        <v>2564.5180000000246</v>
      </c>
      <c r="R148" s="235">
        <f t="shared" si="19"/>
        <v>42.741966666667082</v>
      </c>
      <c r="S148" s="235">
        <f t="shared" si="28"/>
        <v>85.48393333333334</v>
      </c>
      <c r="T148" s="247">
        <f t="shared" si="20"/>
        <v>128.22590000000042</v>
      </c>
      <c r="U148" s="238"/>
      <c r="V148" s="520"/>
      <c r="W148" s="234" t="s">
        <v>231</v>
      </c>
      <c r="X148" s="235"/>
      <c r="Y148" s="235"/>
      <c r="Z148" s="235"/>
      <c r="AA148" s="247">
        <f t="shared" si="21"/>
        <v>0</v>
      </c>
      <c r="AB148" s="238"/>
      <c r="AC148" s="520"/>
      <c r="AD148" s="234" t="s">
        <v>231</v>
      </c>
      <c r="AE148" s="235"/>
      <c r="AF148" s="235"/>
      <c r="AG148" s="235"/>
      <c r="AH148" s="247">
        <f t="shared" si="22"/>
        <v>0</v>
      </c>
      <c r="AI148" s="238"/>
      <c r="AK148" s="240"/>
    </row>
    <row r="149" spans="1:37" x14ac:dyDescent="0.2">
      <c r="A149" s="514"/>
      <c r="B149" s="234" t="s">
        <v>232</v>
      </c>
      <c r="C149" s="235">
        <f t="shared" si="26"/>
        <v>2060.4236178694428</v>
      </c>
      <c r="D149" s="235">
        <f t="shared" si="23"/>
        <v>34.340393631157383</v>
      </c>
      <c r="E149" s="235">
        <f t="shared" si="30"/>
        <v>128.77647611683864</v>
      </c>
      <c r="F149" s="236">
        <f t="shared" si="32"/>
        <v>163.11686974799602</v>
      </c>
      <c r="G149" s="239"/>
      <c r="H149" s="512"/>
      <c r="I149" s="234" t="s">
        <v>232</v>
      </c>
      <c r="J149" s="235">
        <f t="shared" si="27"/>
        <v>54.630350000000192</v>
      </c>
      <c r="K149" s="235">
        <f t="shared" si="24"/>
        <v>0.91050583333333657</v>
      </c>
      <c r="L149" s="235">
        <f t="shared" si="25"/>
        <v>3.2135499999999997</v>
      </c>
      <c r="M149" s="247">
        <f t="shared" si="18"/>
        <v>4.1240558333333359</v>
      </c>
      <c r="N149" s="238"/>
      <c r="O149" s="520"/>
      <c r="P149" s="234" t="s">
        <v>232</v>
      </c>
      <c r="Q149" s="235">
        <f t="shared" si="29"/>
        <v>2479.0340666666912</v>
      </c>
      <c r="R149" s="235">
        <f t="shared" si="19"/>
        <v>41.317234444444857</v>
      </c>
      <c r="S149" s="235">
        <f t="shared" si="28"/>
        <v>85.48393333333334</v>
      </c>
      <c r="T149" s="247">
        <f t="shared" si="20"/>
        <v>126.8011677777782</v>
      </c>
      <c r="U149" s="238"/>
      <c r="V149" s="520"/>
      <c r="W149" s="234" t="s">
        <v>232</v>
      </c>
      <c r="X149" s="235"/>
      <c r="Y149" s="235"/>
      <c r="Z149" s="235"/>
      <c r="AA149" s="247">
        <f t="shared" si="21"/>
        <v>0</v>
      </c>
      <c r="AB149" s="238"/>
      <c r="AC149" s="520"/>
      <c r="AD149" s="234" t="s">
        <v>232</v>
      </c>
      <c r="AE149" s="235"/>
      <c r="AF149" s="235"/>
      <c r="AG149" s="235"/>
      <c r="AH149" s="247">
        <f t="shared" si="22"/>
        <v>0</v>
      </c>
      <c r="AI149" s="238"/>
      <c r="AK149" s="240"/>
    </row>
    <row r="150" spans="1:37" x14ac:dyDescent="0.2">
      <c r="A150" s="514"/>
      <c r="B150" s="234" t="s">
        <v>233</v>
      </c>
      <c r="C150" s="235">
        <f t="shared" si="26"/>
        <v>1931.6471417526041</v>
      </c>
      <c r="D150" s="235">
        <f t="shared" si="23"/>
        <v>32.194119029210071</v>
      </c>
      <c r="E150" s="235">
        <f t="shared" si="30"/>
        <v>128.77647611683864</v>
      </c>
      <c r="F150" s="236">
        <f t="shared" si="32"/>
        <v>160.97059514604871</v>
      </c>
      <c r="G150" s="239"/>
      <c r="H150" s="512"/>
      <c r="I150" s="234" t="s">
        <v>233</v>
      </c>
      <c r="J150" s="235">
        <f t="shared" si="27"/>
        <v>51.416800000000194</v>
      </c>
      <c r="K150" s="235">
        <f t="shared" si="24"/>
        <v>0.85694666666666997</v>
      </c>
      <c r="L150" s="235">
        <f t="shared" si="25"/>
        <v>3.2135499999999997</v>
      </c>
      <c r="M150" s="247">
        <f t="shared" si="18"/>
        <v>4.0704966666666698</v>
      </c>
      <c r="N150" s="238"/>
      <c r="O150" s="520"/>
      <c r="P150" s="234" t="s">
        <v>233</v>
      </c>
      <c r="Q150" s="235">
        <f t="shared" si="29"/>
        <v>2393.5501333333577</v>
      </c>
      <c r="R150" s="235">
        <f t="shared" si="19"/>
        <v>39.892502222222632</v>
      </c>
      <c r="S150" s="235">
        <f t="shared" si="28"/>
        <v>85.48393333333334</v>
      </c>
      <c r="T150" s="247">
        <f t="shared" si="20"/>
        <v>125.37643555555597</v>
      </c>
      <c r="U150" s="238"/>
      <c r="V150" s="520"/>
      <c r="W150" s="234" t="s">
        <v>233</v>
      </c>
      <c r="X150" s="235"/>
      <c r="Y150" s="235"/>
      <c r="Z150" s="235"/>
      <c r="AA150" s="247">
        <f t="shared" si="21"/>
        <v>0</v>
      </c>
      <c r="AB150" s="238"/>
      <c r="AC150" s="520"/>
      <c r="AD150" s="234" t="s">
        <v>233</v>
      </c>
      <c r="AE150" s="235"/>
      <c r="AF150" s="235"/>
      <c r="AG150" s="235"/>
      <c r="AH150" s="247">
        <f t="shared" si="22"/>
        <v>0</v>
      </c>
      <c r="AI150" s="238"/>
      <c r="AK150" s="240"/>
    </row>
    <row r="151" spans="1:37" x14ac:dyDescent="0.2">
      <c r="A151" s="514"/>
      <c r="B151" s="234" t="s">
        <v>234</v>
      </c>
      <c r="C151" s="235">
        <f t="shared" si="26"/>
        <v>1802.8706656357654</v>
      </c>
      <c r="D151" s="235">
        <f t="shared" si="23"/>
        <v>30.04784442726276</v>
      </c>
      <c r="E151" s="235">
        <f t="shared" si="30"/>
        <v>128.77647611683864</v>
      </c>
      <c r="F151" s="236">
        <f t="shared" si="32"/>
        <v>158.8243205441014</v>
      </c>
      <c r="G151" s="239"/>
      <c r="H151" s="512"/>
      <c r="I151" s="234" t="s">
        <v>234</v>
      </c>
      <c r="J151" s="235">
        <f t="shared" si="27"/>
        <v>48.203250000000196</v>
      </c>
      <c r="K151" s="235">
        <f t="shared" si="24"/>
        <v>0.80338750000000336</v>
      </c>
      <c r="L151" s="235">
        <f t="shared" si="25"/>
        <v>3.2135499999999997</v>
      </c>
      <c r="M151" s="247">
        <f>K151+L151</f>
        <v>4.0169375000000027</v>
      </c>
      <c r="N151" s="238"/>
      <c r="O151" s="520"/>
      <c r="P151" s="234" t="s">
        <v>234</v>
      </c>
      <c r="Q151" s="235">
        <f t="shared" si="29"/>
        <v>2308.0662000000243</v>
      </c>
      <c r="R151" s="235">
        <f t="shared" si="19"/>
        <v>38.467770000000407</v>
      </c>
      <c r="S151" s="235">
        <f t="shared" si="28"/>
        <v>85.48393333333334</v>
      </c>
      <c r="T151" s="247">
        <f t="shared" si="20"/>
        <v>123.95170333333374</v>
      </c>
      <c r="U151" s="238"/>
      <c r="V151" s="520"/>
      <c r="W151" s="234" t="s">
        <v>234</v>
      </c>
      <c r="X151" s="235"/>
      <c r="Y151" s="235"/>
      <c r="Z151" s="235"/>
      <c r="AA151" s="247">
        <f t="shared" si="21"/>
        <v>0</v>
      </c>
      <c r="AB151" s="238"/>
      <c r="AC151" s="520"/>
      <c r="AD151" s="234" t="s">
        <v>234</v>
      </c>
      <c r="AE151" s="235"/>
      <c r="AF151" s="235"/>
      <c r="AG151" s="235"/>
      <c r="AH151" s="247">
        <f t="shared" si="22"/>
        <v>0</v>
      </c>
      <c r="AI151" s="238"/>
      <c r="AK151" s="240"/>
    </row>
    <row r="152" spans="1:37" x14ac:dyDescent="0.2">
      <c r="A152" s="514"/>
      <c r="B152" s="234" t="s">
        <v>235</v>
      </c>
      <c r="C152" s="235">
        <f t="shared" si="26"/>
        <v>1674.0941895189267</v>
      </c>
      <c r="D152" s="235">
        <f t="shared" si="23"/>
        <v>27.901569825315448</v>
      </c>
      <c r="E152" s="235">
        <f t="shared" si="30"/>
        <v>128.77647611683864</v>
      </c>
      <c r="F152" s="236">
        <f t="shared" si="32"/>
        <v>156.67804594215409</v>
      </c>
      <c r="G152" s="239"/>
      <c r="H152" s="512"/>
      <c r="I152" s="234" t="s">
        <v>235</v>
      </c>
      <c r="J152" s="235">
        <f t="shared" si="27"/>
        <v>44.989700000000198</v>
      </c>
      <c r="K152" s="235">
        <f t="shared" si="24"/>
        <v>0.74982833333333676</v>
      </c>
      <c r="L152" s="235">
        <f t="shared" si="25"/>
        <v>3.2135499999999997</v>
      </c>
      <c r="M152" s="247">
        <f>K152+L152</f>
        <v>3.9633783333333366</v>
      </c>
      <c r="N152" s="238"/>
      <c r="O152" s="520"/>
      <c r="P152" s="234" t="s">
        <v>235</v>
      </c>
      <c r="Q152" s="235">
        <f t="shared" si="29"/>
        <v>2222.5822666666909</v>
      </c>
      <c r="R152" s="235">
        <f t="shared" si="19"/>
        <v>37.043037777778181</v>
      </c>
      <c r="S152" s="235">
        <f t="shared" si="28"/>
        <v>85.48393333333334</v>
      </c>
      <c r="T152" s="247">
        <f t="shared" si="20"/>
        <v>122.52697111111152</v>
      </c>
      <c r="U152" s="238"/>
      <c r="V152" s="520"/>
      <c r="W152" s="234" t="s">
        <v>235</v>
      </c>
      <c r="X152" s="235"/>
      <c r="Y152" s="235"/>
      <c r="Z152" s="235"/>
      <c r="AA152" s="247">
        <f t="shared" si="21"/>
        <v>0</v>
      </c>
      <c r="AB152" s="238"/>
      <c r="AC152" s="520"/>
      <c r="AD152" s="234" t="s">
        <v>235</v>
      </c>
      <c r="AE152" s="235"/>
      <c r="AF152" s="235"/>
      <c r="AG152" s="235"/>
      <c r="AH152" s="247">
        <f t="shared" si="22"/>
        <v>0</v>
      </c>
      <c r="AI152" s="238"/>
      <c r="AK152" s="240"/>
    </row>
    <row r="153" spans="1:37" x14ac:dyDescent="0.2">
      <c r="A153" s="515"/>
      <c r="B153" s="234" t="s">
        <v>236</v>
      </c>
      <c r="C153" s="235">
        <f t="shared" si="26"/>
        <v>1545.317713402088</v>
      </c>
      <c r="D153" s="235">
        <f t="shared" si="23"/>
        <v>25.755295223368137</v>
      </c>
      <c r="E153" s="235">
        <f t="shared" si="30"/>
        <v>128.77647611683864</v>
      </c>
      <c r="F153" s="236">
        <f>D153+E153</f>
        <v>154.53177134020677</v>
      </c>
      <c r="G153" s="239">
        <f>SUM(D142:D153)</f>
        <v>450.7176664089402</v>
      </c>
      <c r="H153" s="512"/>
      <c r="I153" s="234" t="s">
        <v>236</v>
      </c>
      <c r="J153" s="235">
        <f t="shared" si="27"/>
        <v>41.7761500000002</v>
      </c>
      <c r="K153" s="235">
        <f t="shared" si="24"/>
        <v>0.69626916666666994</v>
      </c>
      <c r="L153" s="235">
        <f t="shared" si="25"/>
        <v>3.2135499999999997</v>
      </c>
      <c r="M153" s="247">
        <f>K153+L153</f>
        <v>3.9098191666666695</v>
      </c>
      <c r="N153" s="239">
        <f>SUM(K142:K153)</f>
        <v>11.89013500000004</v>
      </c>
      <c r="O153" s="521"/>
      <c r="P153" s="234" t="s">
        <v>236</v>
      </c>
      <c r="Q153" s="235">
        <f t="shared" si="29"/>
        <v>2137.0983333333575</v>
      </c>
      <c r="R153" s="235">
        <f t="shared" si="19"/>
        <v>35.618305555555956</v>
      </c>
      <c r="S153" s="235">
        <f t="shared" si="28"/>
        <v>85.48393333333334</v>
      </c>
      <c r="T153" s="247">
        <f t="shared" si="20"/>
        <v>121.1022388888893</v>
      </c>
      <c r="U153" s="238">
        <f>SUM(R142:R153)</f>
        <v>521.45199333333824</v>
      </c>
      <c r="V153" s="521"/>
      <c r="W153" s="234" t="s">
        <v>236</v>
      </c>
      <c r="X153" s="235"/>
      <c r="Y153" s="235"/>
      <c r="Z153" s="235"/>
      <c r="AA153" s="247">
        <f t="shared" si="21"/>
        <v>0</v>
      </c>
      <c r="AB153" s="238">
        <f>SUM(Y142:Y153)</f>
        <v>0</v>
      </c>
      <c r="AC153" s="521"/>
      <c r="AD153" s="234" t="s">
        <v>236</v>
      </c>
      <c r="AE153" s="235"/>
      <c r="AF153" s="235"/>
      <c r="AG153" s="235"/>
      <c r="AH153" s="247">
        <f t="shared" si="22"/>
        <v>0</v>
      </c>
      <c r="AI153" s="238">
        <f>SUM(AF142:AF153)</f>
        <v>0</v>
      </c>
      <c r="AJ153" s="208">
        <f>O142</f>
        <v>2033</v>
      </c>
      <c r="AK153" s="240">
        <f>G153+N153+U153+AB153+AI153</f>
        <v>984.05979474227843</v>
      </c>
    </row>
    <row r="154" spans="1:37" x14ac:dyDescent="0.2">
      <c r="A154" s="513">
        <f>A142+1</f>
        <v>2034</v>
      </c>
      <c r="B154" s="234" t="s">
        <v>225</v>
      </c>
      <c r="C154" s="235">
        <f t="shared" si="26"/>
        <v>1416.5412372852493</v>
      </c>
      <c r="D154" s="235">
        <f t="shared" si="23"/>
        <v>23.609020621420822</v>
      </c>
      <c r="E154" s="235">
        <f t="shared" si="30"/>
        <v>128.77647611683864</v>
      </c>
      <c r="F154" s="236">
        <f>D154+E154</f>
        <v>152.38549673825946</v>
      </c>
      <c r="G154" s="239"/>
      <c r="H154" s="512">
        <f>H142+1</f>
        <v>2034</v>
      </c>
      <c r="I154" s="234" t="s">
        <v>225</v>
      </c>
      <c r="J154" s="235">
        <f t="shared" si="27"/>
        <v>38.562600000000202</v>
      </c>
      <c r="K154" s="235">
        <f t="shared" si="24"/>
        <v>0.64271000000000333</v>
      </c>
      <c r="L154" s="235">
        <f t="shared" si="25"/>
        <v>3.2135499999999997</v>
      </c>
      <c r="M154" s="247">
        <f t="shared" ref="M154:M165" si="33">K154+L154</f>
        <v>3.8562600000000029</v>
      </c>
      <c r="N154" s="239"/>
      <c r="O154" s="519">
        <f>O142+1</f>
        <v>2034</v>
      </c>
      <c r="P154" s="234" t="s">
        <v>225</v>
      </c>
      <c r="Q154" s="235">
        <f t="shared" si="29"/>
        <v>2051.614400000024</v>
      </c>
      <c r="R154" s="235">
        <f t="shared" si="19"/>
        <v>34.193573333333738</v>
      </c>
      <c r="S154" s="235">
        <f t="shared" si="28"/>
        <v>85.48393333333334</v>
      </c>
      <c r="T154" s="247">
        <f t="shared" si="20"/>
        <v>119.67750666666709</v>
      </c>
      <c r="U154" s="237"/>
      <c r="V154" s="519">
        <v>2033</v>
      </c>
      <c r="W154" s="234" t="s">
        <v>225</v>
      </c>
      <c r="X154" s="235">
        <f>X7-X8</f>
        <v>0</v>
      </c>
      <c r="Y154" s="235">
        <f>X154*$Y$7/12</f>
        <v>0</v>
      </c>
      <c r="Z154" s="235">
        <f t="shared" ref="Z154:Z165" si="34">$X$7/Y$8</f>
        <v>0</v>
      </c>
      <c r="AA154" s="247">
        <f t="shared" si="21"/>
        <v>0</v>
      </c>
      <c r="AB154" s="237"/>
      <c r="AC154" s="519">
        <v>2033</v>
      </c>
      <c r="AD154" s="234" t="s">
        <v>225</v>
      </c>
      <c r="AE154" s="235"/>
      <c r="AF154" s="235">
        <f>AE154*$Y$7/12</f>
        <v>0</v>
      </c>
      <c r="AG154" s="235"/>
      <c r="AH154" s="247">
        <f t="shared" si="22"/>
        <v>0</v>
      </c>
      <c r="AI154" s="237"/>
      <c r="AK154" s="240"/>
    </row>
    <row r="155" spans="1:37" x14ac:dyDescent="0.2">
      <c r="A155" s="514"/>
      <c r="B155" s="234" t="s">
        <v>226</v>
      </c>
      <c r="C155" s="235">
        <f t="shared" si="26"/>
        <v>1287.7647611684106</v>
      </c>
      <c r="D155" s="235">
        <f t="shared" si="23"/>
        <v>21.46274601947351</v>
      </c>
      <c r="E155" s="235">
        <f t="shared" si="30"/>
        <v>128.77647611683864</v>
      </c>
      <c r="F155" s="236">
        <f>D155+E155</f>
        <v>150.23922213631215</v>
      </c>
      <c r="G155" s="239"/>
      <c r="H155" s="512"/>
      <c r="I155" s="234" t="s">
        <v>226</v>
      </c>
      <c r="J155" s="235">
        <f t="shared" si="27"/>
        <v>35.349050000000204</v>
      </c>
      <c r="K155" s="235">
        <f t="shared" si="24"/>
        <v>0.58915083333333673</v>
      </c>
      <c r="L155" s="235">
        <f t="shared" si="25"/>
        <v>3.2135499999999997</v>
      </c>
      <c r="M155" s="247">
        <f t="shared" si="33"/>
        <v>3.8027008333333363</v>
      </c>
      <c r="N155" s="239"/>
      <c r="O155" s="520"/>
      <c r="P155" s="234" t="s">
        <v>226</v>
      </c>
      <c r="Q155" s="235">
        <f t="shared" si="29"/>
        <v>1966.1304666666906</v>
      </c>
      <c r="R155" s="235">
        <f t="shared" si="19"/>
        <v>32.768841111111513</v>
      </c>
      <c r="S155" s="235">
        <f t="shared" si="28"/>
        <v>85.48393333333334</v>
      </c>
      <c r="T155" s="247">
        <f t="shared" si="20"/>
        <v>118.25277444444485</v>
      </c>
      <c r="U155" s="238"/>
      <c r="V155" s="520"/>
      <c r="W155" s="234" t="s">
        <v>226</v>
      </c>
      <c r="X155" s="235">
        <f>X154-Z154</f>
        <v>0</v>
      </c>
      <c r="Y155" s="235">
        <f t="shared" ref="Y155:Y218" si="35">X155*$Y$7/12</f>
        <v>0</v>
      </c>
      <c r="Z155" s="235">
        <f t="shared" si="34"/>
        <v>0</v>
      </c>
      <c r="AA155" s="247">
        <f t="shared" si="21"/>
        <v>0</v>
      </c>
      <c r="AB155" s="238"/>
      <c r="AC155" s="520"/>
      <c r="AD155" s="234" t="s">
        <v>226</v>
      </c>
      <c r="AE155" s="235"/>
      <c r="AF155" s="235">
        <f t="shared" ref="AF155:AF218" si="36">AE155*$Y$7/12</f>
        <v>0</v>
      </c>
      <c r="AG155" s="235"/>
      <c r="AH155" s="247">
        <f t="shared" si="22"/>
        <v>0</v>
      </c>
      <c r="AI155" s="238"/>
      <c r="AK155" s="240"/>
    </row>
    <row r="156" spans="1:37" x14ac:dyDescent="0.2">
      <c r="A156" s="514"/>
      <c r="B156" s="234" t="s">
        <v>227</v>
      </c>
      <c r="C156" s="235">
        <f t="shared" si="26"/>
        <v>1158.9882850515719</v>
      </c>
      <c r="D156" s="235">
        <f t="shared" si="23"/>
        <v>19.316471417526198</v>
      </c>
      <c r="E156" s="235">
        <f t="shared" si="30"/>
        <v>128.77647611683864</v>
      </c>
      <c r="F156" s="236">
        <f>D156+E156</f>
        <v>148.09294753436484</v>
      </c>
      <c r="G156" s="239"/>
      <c r="H156" s="512"/>
      <c r="I156" s="234" t="s">
        <v>227</v>
      </c>
      <c r="J156" s="235">
        <f t="shared" si="27"/>
        <v>32.135500000000206</v>
      </c>
      <c r="K156" s="235">
        <f t="shared" si="24"/>
        <v>0.53559166666667013</v>
      </c>
      <c r="L156" s="235">
        <f t="shared" si="25"/>
        <v>3.2135499999999997</v>
      </c>
      <c r="M156" s="247">
        <f t="shared" si="33"/>
        <v>3.7491416666666697</v>
      </c>
      <c r="N156" s="239"/>
      <c r="O156" s="520"/>
      <c r="P156" s="234" t="s">
        <v>227</v>
      </c>
      <c r="Q156" s="235">
        <f t="shared" si="29"/>
        <v>1880.6465333333572</v>
      </c>
      <c r="R156" s="235">
        <f t="shared" si="19"/>
        <v>31.344108888889291</v>
      </c>
      <c r="S156" s="235">
        <f t="shared" si="28"/>
        <v>85.48393333333334</v>
      </c>
      <c r="T156" s="247">
        <f t="shared" si="20"/>
        <v>116.82804222222263</v>
      </c>
      <c r="U156" s="238"/>
      <c r="V156" s="520"/>
      <c r="W156" s="234" t="s">
        <v>227</v>
      </c>
      <c r="X156" s="235">
        <f t="shared" ref="X156:X219" si="37">X155-Z155</f>
        <v>0</v>
      </c>
      <c r="Y156" s="235">
        <f t="shared" si="35"/>
        <v>0</v>
      </c>
      <c r="Z156" s="235">
        <f t="shared" si="34"/>
        <v>0</v>
      </c>
      <c r="AA156" s="247">
        <f t="shared" si="21"/>
        <v>0</v>
      </c>
      <c r="AB156" s="238"/>
      <c r="AC156" s="520"/>
      <c r="AD156" s="234" t="s">
        <v>227</v>
      </c>
      <c r="AE156" s="235"/>
      <c r="AF156" s="235">
        <f t="shared" si="36"/>
        <v>0</v>
      </c>
      <c r="AG156" s="235"/>
      <c r="AH156" s="247">
        <f t="shared" si="22"/>
        <v>0</v>
      </c>
      <c r="AI156" s="238"/>
      <c r="AK156" s="240"/>
    </row>
    <row r="157" spans="1:37" x14ac:dyDescent="0.2">
      <c r="A157" s="514"/>
      <c r="B157" s="234" t="s">
        <v>228</v>
      </c>
      <c r="C157" s="235">
        <f t="shared" si="26"/>
        <v>1030.2118089347332</v>
      </c>
      <c r="D157" s="235">
        <f t="shared" si="23"/>
        <v>17.170196815578887</v>
      </c>
      <c r="E157" s="235">
        <f t="shared" si="30"/>
        <v>128.77647611683864</v>
      </c>
      <c r="F157" s="236">
        <f t="shared" ref="F157:F163" si="38">D157+E157</f>
        <v>145.94667293241753</v>
      </c>
      <c r="G157" s="239"/>
      <c r="H157" s="512"/>
      <c r="I157" s="234" t="s">
        <v>228</v>
      </c>
      <c r="J157" s="235">
        <f t="shared" si="27"/>
        <v>28.921950000000209</v>
      </c>
      <c r="K157" s="235">
        <f t="shared" si="24"/>
        <v>0.48203250000000347</v>
      </c>
      <c r="L157" s="235">
        <f t="shared" si="25"/>
        <v>3.2135499999999997</v>
      </c>
      <c r="M157" s="247">
        <f t="shared" si="33"/>
        <v>3.6955825000000031</v>
      </c>
      <c r="N157" s="239"/>
      <c r="O157" s="520"/>
      <c r="P157" s="234" t="s">
        <v>228</v>
      </c>
      <c r="Q157" s="235">
        <f t="shared" si="29"/>
        <v>1795.1626000000238</v>
      </c>
      <c r="R157" s="235">
        <f t="shared" si="19"/>
        <v>29.919376666667063</v>
      </c>
      <c r="S157" s="235">
        <f t="shared" si="28"/>
        <v>85.48393333333334</v>
      </c>
      <c r="T157" s="247">
        <f t="shared" si="20"/>
        <v>115.4033100000004</v>
      </c>
      <c r="U157" s="238"/>
      <c r="V157" s="520"/>
      <c r="W157" s="234" t="s">
        <v>228</v>
      </c>
      <c r="X157" s="235">
        <f t="shared" si="37"/>
        <v>0</v>
      </c>
      <c r="Y157" s="235">
        <f t="shared" si="35"/>
        <v>0</v>
      </c>
      <c r="Z157" s="235">
        <f t="shared" si="34"/>
        <v>0</v>
      </c>
      <c r="AA157" s="247">
        <f t="shared" si="21"/>
        <v>0</v>
      </c>
      <c r="AB157" s="238"/>
      <c r="AC157" s="520"/>
      <c r="AD157" s="234" t="s">
        <v>228</v>
      </c>
      <c r="AE157" s="235"/>
      <c r="AF157" s="235">
        <f t="shared" si="36"/>
        <v>0</v>
      </c>
      <c r="AG157" s="235"/>
      <c r="AH157" s="247">
        <f t="shared" si="22"/>
        <v>0</v>
      </c>
      <c r="AI157" s="238"/>
      <c r="AK157" s="240"/>
    </row>
    <row r="158" spans="1:37" x14ac:dyDescent="0.2">
      <c r="A158" s="514"/>
      <c r="B158" s="234" t="s">
        <v>229</v>
      </c>
      <c r="C158" s="235">
        <f t="shared" si="26"/>
        <v>901.4353328178945</v>
      </c>
      <c r="D158" s="235">
        <f t="shared" si="23"/>
        <v>15.023922213631577</v>
      </c>
      <c r="E158" s="235">
        <f t="shared" si="30"/>
        <v>128.77647611683864</v>
      </c>
      <c r="F158" s="236">
        <f t="shared" si="38"/>
        <v>143.80039833047022</v>
      </c>
      <c r="G158" s="239"/>
      <c r="H158" s="512"/>
      <c r="I158" s="234" t="s">
        <v>229</v>
      </c>
      <c r="J158" s="235">
        <f t="shared" si="27"/>
        <v>25.708400000000211</v>
      </c>
      <c r="K158" s="235">
        <f t="shared" si="24"/>
        <v>0.42847333333333687</v>
      </c>
      <c r="L158" s="235">
        <f t="shared" si="25"/>
        <v>3.2135499999999997</v>
      </c>
      <c r="M158" s="247">
        <f t="shared" si="33"/>
        <v>3.6420233333333365</v>
      </c>
      <c r="N158" s="239"/>
      <c r="O158" s="520"/>
      <c r="P158" s="234" t="s">
        <v>229</v>
      </c>
      <c r="Q158" s="235">
        <f t="shared" si="29"/>
        <v>1709.6786666666903</v>
      </c>
      <c r="R158" s="235">
        <f t="shared" si="19"/>
        <v>28.494644444444841</v>
      </c>
      <c r="S158" s="235">
        <f t="shared" si="28"/>
        <v>85.48393333333334</v>
      </c>
      <c r="T158" s="247">
        <f t="shared" si="20"/>
        <v>113.97857777777818</v>
      </c>
      <c r="U158" s="238"/>
      <c r="V158" s="520"/>
      <c r="W158" s="234" t="s">
        <v>229</v>
      </c>
      <c r="X158" s="235">
        <f t="shared" si="37"/>
        <v>0</v>
      </c>
      <c r="Y158" s="235">
        <f t="shared" si="35"/>
        <v>0</v>
      </c>
      <c r="Z158" s="235">
        <f t="shared" si="34"/>
        <v>0</v>
      </c>
      <c r="AA158" s="247">
        <f t="shared" si="21"/>
        <v>0</v>
      </c>
      <c r="AB158" s="238"/>
      <c r="AC158" s="520"/>
      <c r="AD158" s="234" t="s">
        <v>229</v>
      </c>
      <c r="AE158" s="235"/>
      <c r="AF158" s="235">
        <f t="shared" si="36"/>
        <v>0</v>
      </c>
      <c r="AG158" s="235"/>
      <c r="AH158" s="247">
        <f t="shared" si="22"/>
        <v>0</v>
      </c>
      <c r="AI158" s="238"/>
      <c r="AK158" s="240"/>
    </row>
    <row r="159" spans="1:37" x14ac:dyDescent="0.2">
      <c r="A159" s="514"/>
      <c r="B159" s="234" t="s">
        <v>230</v>
      </c>
      <c r="C159" s="235">
        <f t="shared" si="26"/>
        <v>772.65885670105581</v>
      </c>
      <c r="D159" s="235">
        <f t="shared" si="23"/>
        <v>12.877647611684266</v>
      </c>
      <c r="E159" s="235">
        <f t="shared" si="30"/>
        <v>128.77647611683864</v>
      </c>
      <c r="F159" s="236">
        <f t="shared" si="38"/>
        <v>141.6541237285229</v>
      </c>
      <c r="G159" s="239"/>
      <c r="H159" s="512"/>
      <c r="I159" s="234" t="s">
        <v>230</v>
      </c>
      <c r="J159" s="235">
        <f t="shared" si="27"/>
        <v>22.494850000000213</v>
      </c>
      <c r="K159" s="235">
        <f t="shared" si="24"/>
        <v>0.37491416666667021</v>
      </c>
      <c r="L159" s="235">
        <f t="shared" si="25"/>
        <v>3.2135499999999997</v>
      </c>
      <c r="M159" s="247">
        <f t="shared" si="33"/>
        <v>3.5884641666666699</v>
      </c>
      <c r="N159" s="239"/>
      <c r="O159" s="520"/>
      <c r="P159" s="234" t="s">
        <v>230</v>
      </c>
      <c r="Q159" s="235">
        <f t="shared" si="29"/>
        <v>1624.1947333333569</v>
      </c>
      <c r="R159" s="235">
        <f t="shared" si="19"/>
        <v>27.069912222222616</v>
      </c>
      <c r="S159" s="235">
        <f t="shared" si="28"/>
        <v>85.48393333333334</v>
      </c>
      <c r="T159" s="247">
        <f t="shared" si="20"/>
        <v>112.55384555555595</v>
      </c>
      <c r="U159" s="238"/>
      <c r="V159" s="520"/>
      <c r="W159" s="234" t="s">
        <v>230</v>
      </c>
      <c r="X159" s="235">
        <f t="shared" si="37"/>
        <v>0</v>
      </c>
      <c r="Y159" s="235">
        <f t="shared" si="35"/>
        <v>0</v>
      </c>
      <c r="Z159" s="235">
        <f t="shared" si="34"/>
        <v>0</v>
      </c>
      <c r="AA159" s="247">
        <f t="shared" si="21"/>
        <v>0</v>
      </c>
      <c r="AB159" s="238"/>
      <c r="AC159" s="520"/>
      <c r="AD159" s="234" t="s">
        <v>230</v>
      </c>
      <c r="AE159" s="235"/>
      <c r="AF159" s="235">
        <f t="shared" si="36"/>
        <v>0</v>
      </c>
      <c r="AG159" s="235"/>
      <c r="AH159" s="247">
        <f t="shared" si="22"/>
        <v>0</v>
      </c>
      <c r="AI159" s="238"/>
      <c r="AK159" s="240"/>
    </row>
    <row r="160" spans="1:37" x14ac:dyDescent="0.2">
      <c r="A160" s="514"/>
      <c r="B160" s="234" t="s">
        <v>231</v>
      </c>
      <c r="C160" s="235">
        <f t="shared" si="26"/>
        <v>643.88238058421712</v>
      </c>
      <c r="D160" s="235">
        <f t="shared" si="23"/>
        <v>10.731373009736954</v>
      </c>
      <c r="E160" s="235">
        <f t="shared" si="30"/>
        <v>128.77647611683864</v>
      </c>
      <c r="F160" s="236">
        <f t="shared" si="38"/>
        <v>139.50784912657559</v>
      </c>
      <c r="G160" s="239"/>
      <c r="H160" s="512"/>
      <c r="I160" s="234" t="s">
        <v>231</v>
      </c>
      <c r="J160" s="235">
        <f t="shared" si="27"/>
        <v>19.281300000000215</v>
      </c>
      <c r="K160" s="235">
        <f t="shared" si="24"/>
        <v>0.32135500000000361</v>
      </c>
      <c r="L160" s="235">
        <f t="shared" si="25"/>
        <v>3.2135499999999997</v>
      </c>
      <c r="M160" s="247">
        <f t="shared" si="33"/>
        <v>3.5349050000000033</v>
      </c>
      <c r="N160" s="239"/>
      <c r="O160" s="520"/>
      <c r="P160" s="234" t="s">
        <v>231</v>
      </c>
      <c r="Q160" s="235">
        <f t="shared" si="29"/>
        <v>1538.7108000000235</v>
      </c>
      <c r="R160" s="235">
        <f t="shared" si="19"/>
        <v>25.645180000000394</v>
      </c>
      <c r="S160" s="235">
        <f t="shared" si="28"/>
        <v>85.48393333333334</v>
      </c>
      <c r="T160" s="247">
        <f t="shared" si="20"/>
        <v>111.12911333333373</v>
      </c>
      <c r="U160" s="238"/>
      <c r="V160" s="520"/>
      <c r="W160" s="234" t="s">
        <v>231</v>
      </c>
      <c r="X160" s="235">
        <f t="shared" si="37"/>
        <v>0</v>
      </c>
      <c r="Y160" s="235">
        <f t="shared" si="35"/>
        <v>0</v>
      </c>
      <c r="Z160" s="235">
        <f t="shared" si="34"/>
        <v>0</v>
      </c>
      <c r="AA160" s="247">
        <f t="shared" si="21"/>
        <v>0</v>
      </c>
      <c r="AB160" s="238"/>
      <c r="AC160" s="520"/>
      <c r="AD160" s="234" t="s">
        <v>231</v>
      </c>
      <c r="AE160" s="235"/>
      <c r="AF160" s="235">
        <f t="shared" si="36"/>
        <v>0</v>
      </c>
      <c r="AG160" s="235"/>
      <c r="AH160" s="247">
        <f t="shared" si="22"/>
        <v>0</v>
      </c>
      <c r="AI160" s="238"/>
      <c r="AK160" s="240"/>
    </row>
    <row r="161" spans="1:37" x14ac:dyDescent="0.2">
      <c r="A161" s="514"/>
      <c r="B161" s="234" t="s">
        <v>232</v>
      </c>
      <c r="C161" s="235">
        <f t="shared" si="26"/>
        <v>515.10590446737842</v>
      </c>
      <c r="D161" s="235">
        <f t="shared" si="23"/>
        <v>8.5850984077896406</v>
      </c>
      <c r="E161" s="235">
        <f t="shared" si="30"/>
        <v>128.77647611683864</v>
      </c>
      <c r="F161" s="236">
        <f t="shared" si="38"/>
        <v>137.36157452462828</v>
      </c>
      <c r="G161" s="239"/>
      <c r="H161" s="512"/>
      <c r="I161" s="234" t="s">
        <v>232</v>
      </c>
      <c r="J161" s="235">
        <f t="shared" si="27"/>
        <v>16.067750000000217</v>
      </c>
      <c r="K161" s="235">
        <f t="shared" si="24"/>
        <v>0.26779583333333695</v>
      </c>
      <c r="L161" s="235">
        <f t="shared" si="25"/>
        <v>3.2135499999999997</v>
      </c>
      <c r="M161" s="247">
        <f t="shared" si="33"/>
        <v>3.4813458333333367</v>
      </c>
      <c r="N161" s="239"/>
      <c r="O161" s="520"/>
      <c r="P161" s="234" t="s">
        <v>232</v>
      </c>
      <c r="Q161" s="235">
        <f t="shared" si="29"/>
        <v>1453.2268666666901</v>
      </c>
      <c r="R161" s="235">
        <f t="shared" si="19"/>
        <v>24.220447777778165</v>
      </c>
      <c r="S161" s="235">
        <f t="shared" si="28"/>
        <v>85.48393333333334</v>
      </c>
      <c r="T161" s="247">
        <f t="shared" si="20"/>
        <v>109.7043811111115</v>
      </c>
      <c r="U161" s="238"/>
      <c r="V161" s="520"/>
      <c r="W161" s="234" t="s">
        <v>232</v>
      </c>
      <c r="X161" s="235">
        <f t="shared" si="37"/>
        <v>0</v>
      </c>
      <c r="Y161" s="235">
        <f t="shared" si="35"/>
        <v>0</v>
      </c>
      <c r="Z161" s="235">
        <f t="shared" si="34"/>
        <v>0</v>
      </c>
      <c r="AA161" s="247">
        <f t="shared" si="21"/>
        <v>0</v>
      </c>
      <c r="AB161" s="238"/>
      <c r="AC161" s="520"/>
      <c r="AD161" s="234" t="s">
        <v>232</v>
      </c>
      <c r="AE161" s="235"/>
      <c r="AF161" s="235">
        <f t="shared" si="36"/>
        <v>0</v>
      </c>
      <c r="AG161" s="235"/>
      <c r="AH161" s="247">
        <f t="shared" si="22"/>
        <v>0</v>
      </c>
      <c r="AI161" s="238"/>
      <c r="AK161" s="240"/>
    </row>
    <row r="162" spans="1:37" x14ac:dyDescent="0.2">
      <c r="A162" s="514"/>
      <c r="B162" s="234" t="s">
        <v>233</v>
      </c>
      <c r="C162" s="235">
        <f t="shared" si="26"/>
        <v>386.32942835053979</v>
      </c>
      <c r="D162" s="235">
        <f t="shared" si="23"/>
        <v>6.4388238058423299</v>
      </c>
      <c r="E162" s="235">
        <f t="shared" si="30"/>
        <v>128.77647611683864</v>
      </c>
      <c r="F162" s="236">
        <f t="shared" si="38"/>
        <v>135.21529992268097</v>
      </c>
      <c r="G162" s="239"/>
      <c r="H162" s="512"/>
      <c r="I162" s="234" t="s">
        <v>233</v>
      </c>
      <c r="J162" s="235">
        <f t="shared" si="27"/>
        <v>12.854200000000217</v>
      </c>
      <c r="K162" s="235">
        <f t="shared" si="24"/>
        <v>0.21423666666667029</v>
      </c>
      <c r="L162" s="235">
        <f t="shared" si="25"/>
        <v>3.2135499999999997</v>
      </c>
      <c r="M162" s="247">
        <f t="shared" si="33"/>
        <v>3.4277866666666701</v>
      </c>
      <c r="N162" s="239"/>
      <c r="O162" s="520"/>
      <c r="P162" s="234" t="s">
        <v>233</v>
      </c>
      <c r="Q162" s="235">
        <f t="shared" si="29"/>
        <v>1367.7429333333566</v>
      </c>
      <c r="R162" s="235">
        <f t="shared" si="19"/>
        <v>22.795715555555944</v>
      </c>
      <c r="S162" s="235">
        <f t="shared" si="28"/>
        <v>85.48393333333334</v>
      </c>
      <c r="T162" s="247">
        <f t="shared" si="20"/>
        <v>108.27964888888928</v>
      </c>
      <c r="U162" s="238"/>
      <c r="V162" s="520"/>
      <c r="W162" s="234" t="s">
        <v>233</v>
      </c>
      <c r="X162" s="235">
        <f t="shared" si="37"/>
        <v>0</v>
      </c>
      <c r="Y162" s="235">
        <f t="shared" si="35"/>
        <v>0</v>
      </c>
      <c r="Z162" s="235">
        <f t="shared" si="34"/>
        <v>0</v>
      </c>
      <c r="AA162" s="247">
        <f t="shared" si="21"/>
        <v>0</v>
      </c>
      <c r="AB162" s="238"/>
      <c r="AC162" s="520"/>
      <c r="AD162" s="234" t="s">
        <v>233</v>
      </c>
      <c r="AE162" s="235"/>
      <c r="AF162" s="235">
        <f t="shared" si="36"/>
        <v>0</v>
      </c>
      <c r="AG162" s="235"/>
      <c r="AH162" s="247">
        <f t="shared" si="22"/>
        <v>0</v>
      </c>
      <c r="AI162" s="238"/>
      <c r="AK162" s="240"/>
    </row>
    <row r="163" spans="1:37" x14ac:dyDescent="0.2">
      <c r="A163" s="514"/>
      <c r="B163" s="234" t="s">
        <v>234</v>
      </c>
      <c r="C163" s="235">
        <f t="shared" si="26"/>
        <v>257.55295223370115</v>
      </c>
      <c r="D163" s="235">
        <f t="shared" si="23"/>
        <v>4.2925492038950193</v>
      </c>
      <c r="E163" s="235">
        <f t="shared" si="30"/>
        <v>128.77647611683864</v>
      </c>
      <c r="F163" s="236">
        <f t="shared" si="38"/>
        <v>133.06902532073366</v>
      </c>
      <c r="G163" s="239"/>
      <c r="H163" s="512"/>
      <c r="I163" s="234" t="s">
        <v>234</v>
      </c>
      <c r="J163" s="235">
        <f t="shared" si="27"/>
        <v>9.6406500000002175</v>
      </c>
      <c r="K163" s="235">
        <f t="shared" si="24"/>
        <v>0.16067750000000364</v>
      </c>
      <c r="L163" s="235">
        <f t="shared" si="25"/>
        <v>3.2135499999999997</v>
      </c>
      <c r="M163" s="247">
        <f t="shared" si="33"/>
        <v>3.3742275000000035</v>
      </c>
      <c r="N163" s="239"/>
      <c r="O163" s="520"/>
      <c r="P163" s="234" t="s">
        <v>234</v>
      </c>
      <c r="Q163" s="235">
        <f t="shared" si="29"/>
        <v>1282.2590000000232</v>
      </c>
      <c r="R163" s="235">
        <f t="shared" ref="R163:R177" si="39">Q163*$D$7/12</f>
        <v>21.370983333333722</v>
      </c>
      <c r="S163" s="235">
        <f t="shared" si="28"/>
        <v>85.48393333333334</v>
      </c>
      <c r="T163" s="247">
        <f t="shared" si="20"/>
        <v>106.85491666666707</v>
      </c>
      <c r="U163" s="238"/>
      <c r="V163" s="520"/>
      <c r="W163" s="234" t="s">
        <v>234</v>
      </c>
      <c r="X163" s="235">
        <f t="shared" si="37"/>
        <v>0</v>
      </c>
      <c r="Y163" s="235">
        <f t="shared" si="35"/>
        <v>0</v>
      </c>
      <c r="Z163" s="235">
        <f t="shared" si="34"/>
        <v>0</v>
      </c>
      <c r="AA163" s="247">
        <f t="shared" si="21"/>
        <v>0</v>
      </c>
      <c r="AB163" s="238"/>
      <c r="AC163" s="520"/>
      <c r="AD163" s="234" t="s">
        <v>234</v>
      </c>
      <c r="AE163" s="235"/>
      <c r="AF163" s="235">
        <f t="shared" si="36"/>
        <v>0</v>
      </c>
      <c r="AG163" s="235"/>
      <c r="AH163" s="247">
        <f t="shared" si="22"/>
        <v>0</v>
      </c>
      <c r="AI163" s="238"/>
      <c r="AK163" s="240"/>
    </row>
    <row r="164" spans="1:37" x14ac:dyDescent="0.2">
      <c r="A164" s="514"/>
      <c r="B164" s="234" t="s">
        <v>235</v>
      </c>
      <c r="C164" s="235">
        <f t="shared" si="26"/>
        <v>128.77647611686251</v>
      </c>
      <c r="D164" s="235">
        <f t="shared" si="23"/>
        <v>2.1462746019477086</v>
      </c>
      <c r="E164" s="235">
        <f t="shared" si="30"/>
        <v>128.77647611683864</v>
      </c>
      <c r="F164" s="236">
        <f>D164+E164</f>
        <v>130.92275071878635</v>
      </c>
      <c r="G164" s="239"/>
      <c r="H164" s="512"/>
      <c r="I164" s="234" t="s">
        <v>235</v>
      </c>
      <c r="J164" s="235">
        <f t="shared" si="27"/>
        <v>6.4271000000002179</v>
      </c>
      <c r="K164" s="235">
        <f t="shared" si="24"/>
        <v>0.10711833333333698</v>
      </c>
      <c r="L164" s="235">
        <f t="shared" si="25"/>
        <v>3.2135499999999997</v>
      </c>
      <c r="M164" s="247">
        <f t="shared" si="33"/>
        <v>3.3206683333333364</v>
      </c>
      <c r="N164" s="239"/>
      <c r="O164" s="520"/>
      <c r="P164" s="234" t="s">
        <v>235</v>
      </c>
      <c r="Q164" s="235">
        <f t="shared" si="29"/>
        <v>1196.7750666666898</v>
      </c>
      <c r="R164" s="235">
        <f t="shared" si="39"/>
        <v>19.946251111111497</v>
      </c>
      <c r="S164" s="235">
        <f t="shared" si="28"/>
        <v>85.48393333333334</v>
      </c>
      <c r="T164" s="247">
        <f t="shared" ref="T164:T201" si="40">R164+S164</f>
        <v>105.43018444444483</v>
      </c>
      <c r="U164" s="238"/>
      <c r="V164" s="520"/>
      <c r="W164" s="234" t="s">
        <v>235</v>
      </c>
      <c r="X164" s="235">
        <f t="shared" si="37"/>
        <v>0</v>
      </c>
      <c r="Y164" s="235">
        <f t="shared" si="35"/>
        <v>0</v>
      </c>
      <c r="Z164" s="235">
        <f t="shared" si="34"/>
        <v>0</v>
      </c>
      <c r="AA164" s="247">
        <f t="shared" ref="AA164:AA227" si="41">Y164+Z164</f>
        <v>0</v>
      </c>
      <c r="AB164" s="238"/>
      <c r="AC164" s="520"/>
      <c r="AD164" s="234" t="s">
        <v>235</v>
      </c>
      <c r="AE164" s="235"/>
      <c r="AF164" s="235">
        <f t="shared" si="36"/>
        <v>0</v>
      </c>
      <c r="AG164" s="235"/>
      <c r="AH164" s="247">
        <f t="shared" ref="AH164:AH227" si="42">AF164+AG164</f>
        <v>0</v>
      </c>
      <c r="AI164" s="238"/>
      <c r="AK164" s="240"/>
    </row>
    <row r="165" spans="1:37" x14ac:dyDescent="0.2">
      <c r="A165" s="515"/>
      <c r="B165" s="234" t="s">
        <v>236</v>
      </c>
      <c r="C165" s="235">
        <f t="shared" si="26"/>
        <v>2.3874235921539366E-11</v>
      </c>
      <c r="D165" s="235">
        <f t="shared" si="23"/>
        <v>3.979039320256561E-13</v>
      </c>
      <c r="E165" s="235">
        <v>0</v>
      </c>
      <c r="F165" s="236">
        <f>D165+E165</f>
        <v>3.979039320256561E-13</v>
      </c>
      <c r="G165" s="239">
        <f>SUM(D154:D165)</f>
        <v>141.65412372852731</v>
      </c>
      <c r="H165" s="512"/>
      <c r="I165" s="234" t="s">
        <v>236</v>
      </c>
      <c r="J165" s="235">
        <f t="shared" si="27"/>
        <v>3.2135500000002182</v>
      </c>
      <c r="K165" s="235">
        <f t="shared" si="24"/>
        <v>5.3559166666670301E-2</v>
      </c>
      <c r="L165" s="235">
        <f t="shared" si="25"/>
        <v>3.2135499999999997</v>
      </c>
      <c r="M165" s="247">
        <f t="shared" si="33"/>
        <v>3.2671091666666698</v>
      </c>
      <c r="N165" s="239">
        <f>SUM(K154:K165)</f>
        <v>4.1776150000000429</v>
      </c>
      <c r="O165" s="521"/>
      <c r="P165" s="234" t="s">
        <v>236</v>
      </c>
      <c r="Q165" s="235">
        <f t="shared" si="29"/>
        <v>1111.2911333333564</v>
      </c>
      <c r="R165" s="235">
        <f t="shared" si="39"/>
        <v>18.521518888889272</v>
      </c>
      <c r="S165" s="235">
        <f t="shared" si="28"/>
        <v>85.48393333333334</v>
      </c>
      <c r="T165" s="247">
        <f t="shared" si="40"/>
        <v>104.00545222222262</v>
      </c>
      <c r="U165" s="238">
        <f>SUM(R154:R165)</f>
        <v>316.29055333333804</v>
      </c>
      <c r="V165" s="521"/>
      <c r="W165" s="234" t="s">
        <v>236</v>
      </c>
      <c r="X165" s="235">
        <f t="shared" si="37"/>
        <v>0</v>
      </c>
      <c r="Y165" s="235">
        <f t="shared" si="35"/>
        <v>0</v>
      </c>
      <c r="Z165" s="235">
        <f t="shared" si="34"/>
        <v>0</v>
      </c>
      <c r="AA165" s="247">
        <f t="shared" si="41"/>
        <v>0</v>
      </c>
      <c r="AB165" s="238">
        <f>SUM(Y154:Y165)</f>
        <v>0</v>
      </c>
      <c r="AC165" s="521"/>
      <c r="AD165" s="234" t="s">
        <v>236</v>
      </c>
      <c r="AE165" s="235"/>
      <c r="AF165" s="235">
        <f t="shared" si="36"/>
        <v>0</v>
      </c>
      <c r="AG165" s="235"/>
      <c r="AH165" s="247">
        <f t="shared" si="42"/>
        <v>0</v>
      </c>
      <c r="AI165" s="238">
        <f>SUM(AF154:AF165)</f>
        <v>0</v>
      </c>
      <c r="AJ165" s="208">
        <f>O154</f>
        <v>2034</v>
      </c>
      <c r="AK165" s="240">
        <f>G165+N165+U165+AB165+AI165</f>
        <v>462.12229206186538</v>
      </c>
    </row>
    <row r="166" spans="1:37" x14ac:dyDescent="0.2">
      <c r="A166" s="248"/>
      <c r="B166" s="234"/>
      <c r="C166" s="235"/>
      <c r="D166" s="235"/>
      <c r="E166" s="235"/>
      <c r="F166" s="236">
        <f t="shared" ref="F166:F169" si="43">D166+E166</f>
        <v>0</v>
      </c>
      <c r="G166" s="239"/>
      <c r="H166" s="248"/>
      <c r="I166" s="234"/>
      <c r="J166" s="235"/>
      <c r="K166" s="235"/>
      <c r="L166" s="235"/>
      <c r="M166" s="247"/>
      <c r="N166" s="239"/>
      <c r="O166" s="519">
        <f>O154+1</f>
        <v>2035</v>
      </c>
      <c r="P166" s="234" t="s">
        <v>225</v>
      </c>
      <c r="Q166" s="235">
        <f t="shared" si="29"/>
        <v>1025.8072000000229</v>
      </c>
      <c r="R166" s="235">
        <f t="shared" si="39"/>
        <v>17.09678666666705</v>
      </c>
      <c r="S166" s="235">
        <f t="shared" si="28"/>
        <v>85.48393333333334</v>
      </c>
      <c r="T166" s="247">
        <f t="shared" si="40"/>
        <v>102.58072000000038</v>
      </c>
      <c r="U166" s="237"/>
      <c r="V166" s="519">
        <v>2034</v>
      </c>
      <c r="W166" s="234" t="s">
        <v>225</v>
      </c>
      <c r="X166" s="235">
        <f t="shared" si="37"/>
        <v>0</v>
      </c>
      <c r="Y166" s="235">
        <f t="shared" si="35"/>
        <v>0</v>
      </c>
      <c r="Z166" s="235">
        <f>$X$7/Y$8</f>
        <v>0</v>
      </c>
      <c r="AA166" s="247">
        <f t="shared" si="41"/>
        <v>0</v>
      </c>
      <c r="AB166" s="237"/>
      <c r="AC166" s="519">
        <v>2034</v>
      </c>
      <c r="AD166" s="234" t="s">
        <v>225</v>
      </c>
      <c r="AE166" s="235"/>
      <c r="AF166" s="235">
        <f t="shared" si="36"/>
        <v>0</v>
      </c>
      <c r="AG166" s="235"/>
      <c r="AH166" s="247">
        <f t="shared" si="42"/>
        <v>0</v>
      </c>
      <c r="AI166" s="237"/>
      <c r="AK166" s="240"/>
    </row>
    <row r="167" spans="1:37" x14ac:dyDescent="0.2">
      <c r="A167" s="248"/>
      <c r="B167" s="234"/>
      <c r="C167" s="235"/>
      <c r="D167" s="235"/>
      <c r="E167" s="235"/>
      <c r="F167" s="236">
        <f t="shared" si="43"/>
        <v>0</v>
      </c>
      <c r="G167" s="239"/>
      <c r="H167" s="248"/>
      <c r="I167" s="234"/>
      <c r="J167" s="235"/>
      <c r="K167" s="235"/>
      <c r="L167" s="235"/>
      <c r="M167" s="236"/>
      <c r="N167" s="239"/>
      <c r="O167" s="520"/>
      <c r="P167" s="234" t="s">
        <v>226</v>
      </c>
      <c r="Q167" s="235">
        <f t="shared" si="29"/>
        <v>940.32326666668962</v>
      </c>
      <c r="R167" s="235">
        <f t="shared" si="39"/>
        <v>15.672054444444827</v>
      </c>
      <c r="S167" s="235">
        <f t="shared" si="28"/>
        <v>85.48393333333334</v>
      </c>
      <c r="T167" s="247">
        <f t="shared" si="40"/>
        <v>101.15598777777817</v>
      </c>
      <c r="U167" s="238"/>
      <c r="V167" s="520"/>
      <c r="W167" s="234" t="s">
        <v>226</v>
      </c>
      <c r="X167" s="235">
        <f t="shared" si="37"/>
        <v>0</v>
      </c>
      <c r="Y167" s="235">
        <f t="shared" si="35"/>
        <v>0</v>
      </c>
      <c r="Z167" s="235">
        <f t="shared" ref="Z167:Z230" si="44">$X$7/120</f>
        <v>0</v>
      </c>
      <c r="AA167" s="247">
        <f t="shared" si="41"/>
        <v>0</v>
      </c>
      <c r="AB167" s="238"/>
      <c r="AC167" s="520"/>
      <c r="AD167" s="234" t="s">
        <v>226</v>
      </c>
      <c r="AE167" s="235"/>
      <c r="AF167" s="235">
        <f t="shared" si="36"/>
        <v>0</v>
      </c>
      <c r="AG167" s="235"/>
      <c r="AH167" s="247">
        <f t="shared" si="42"/>
        <v>0</v>
      </c>
      <c r="AI167" s="238"/>
      <c r="AK167" s="240"/>
    </row>
    <row r="168" spans="1:37" x14ac:dyDescent="0.2">
      <c r="A168" s="248"/>
      <c r="B168" s="234"/>
      <c r="C168" s="235"/>
      <c r="D168" s="235"/>
      <c r="E168" s="235"/>
      <c r="F168" s="236">
        <f t="shared" si="43"/>
        <v>0</v>
      </c>
      <c r="G168" s="239"/>
      <c r="H168" s="248"/>
      <c r="I168" s="234"/>
      <c r="J168" s="235"/>
      <c r="K168" s="235"/>
      <c r="L168" s="235"/>
      <c r="M168" s="236"/>
      <c r="N168" s="239"/>
      <c r="O168" s="520"/>
      <c r="P168" s="234" t="s">
        <v>227</v>
      </c>
      <c r="Q168" s="235">
        <f t="shared" si="29"/>
        <v>854.83933333335631</v>
      </c>
      <c r="R168" s="235">
        <f t="shared" si="39"/>
        <v>14.247322222222607</v>
      </c>
      <c r="S168" s="235">
        <f t="shared" si="28"/>
        <v>85.48393333333334</v>
      </c>
      <c r="T168" s="247">
        <f t="shared" si="40"/>
        <v>99.731255555555947</v>
      </c>
      <c r="U168" s="238"/>
      <c r="V168" s="520"/>
      <c r="W168" s="234" t="s">
        <v>227</v>
      </c>
      <c r="X168" s="235">
        <f t="shared" si="37"/>
        <v>0</v>
      </c>
      <c r="Y168" s="235">
        <f t="shared" si="35"/>
        <v>0</v>
      </c>
      <c r="Z168" s="235">
        <f t="shared" si="44"/>
        <v>0</v>
      </c>
      <c r="AA168" s="247">
        <f t="shared" si="41"/>
        <v>0</v>
      </c>
      <c r="AB168" s="238"/>
      <c r="AC168" s="520"/>
      <c r="AD168" s="234" t="s">
        <v>227</v>
      </c>
      <c r="AE168" s="235"/>
      <c r="AF168" s="235">
        <f t="shared" si="36"/>
        <v>0</v>
      </c>
      <c r="AG168" s="235"/>
      <c r="AH168" s="247">
        <f t="shared" si="42"/>
        <v>0</v>
      </c>
      <c r="AI168" s="238"/>
      <c r="AK168" s="240"/>
    </row>
    <row r="169" spans="1:37" x14ac:dyDescent="0.2">
      <c r="A169" s="248"/>
      <c r="B169" s="234"/>
      <c r="C169" s="235"/>
      <c r="D169" s="235"/>
      <c r="E169" s="235"/>
      <c r="F169" s="236">
        <f t="shared" si="43"/>
        <v>0</v>
      </c>
      <c r="G169" s="239"/>
      <c r="H169" s="248"/>
      <c r="I169" s="234"/>
      <c r="J169" s="235"/>
      <c r="K169" s="235"/>
      <c r="L169" s="235"/>
      <c r="M169" s="236"/>
      <c r="N169" s="239"/>
      <c r="O169" s="520"/>
      <c r="P169" s="234" t="s">
        <v>228</v>
      </c>
      <c r="Q169" s="235">
        <f t="shared" si="29"/>
        <v>769.355400000023</v>
      </c>
      <c r="R169" s="235">
        <f t="shared" si="39"/>
        <v>12.822590000000384</v>
      </c>
      <c r="S169" s="235">
        <f t="shared" si="28"/>
        <v>85.48393333333334</v>
      </c>
      <c r="T169" s="247">
        <f t="shared" si="40"/>
        <v>98.306523333333729</v>
      </c>
      <c r="U169" s="238"/>
      <c r="V169" s="520"/>
      <c r="W169" s="234" t="s">
        <v>228</v>
      </c>
      <c r="X169" s="235">
        <f t="shared" si="37"/>
        <v>0</v>
      </c>
      <c r="Y169" s="235">
        <f t="shared" si="35"/>
        <v>0</v>
      </c>
      <c r="Z169" s="235">
        <f t="shared" si="44"/>
        <v>0</v>
      </c>
      <c r="AA169" s="247">
        <f t="shared" si="41"/>
        <v>0</v>
      </c>
      <c r="AB169" s="238"/>
      <c r="AC169" s="520"/>
      <c r="AD169" s="234" t="s">
        <v>228</v>
      </c>
      <c r="AE169" s="235"/>
      <c r="AF169" s="235">
        <f t="shared" si="36"/>
        <v>0</v>
      </c>
      <c r="AG169" s="235"/>
      <c r="AH169" s="247">
        <f t="shared" si="42"/>
        <v>0</v>
      </c>
      <c r="AI169" s="238"/>
      <c r="AK169" s="240"/>
    </row>
    <row r="170" spans="1:37" x14ac:dyDescent="0.2">
      <c r="A170" s="248"/>
      <c r="B170" s="234"/>
      <c r="C170" s="235"/>
      <c r="D170" s="235"/>
      <c r="E170" s="235"/>
      <c r="F170" s="236"/>
      <c r="G170" s="239"/>
      <c r="H170" s="248"/>
      <c r="I170" s="234"/>
      <c r="J170" s="235"/>
      <c r="K170" s="235"/>
      <c r="L170" s="235"/>
      <c r="M170" s="236"/>
      <c r="N170" s="239"/>
      <c r="O170" s="520"/>
      <c r="P170" s="234" t="s">
        <v>229</v>
      </c>
      <c r="Q170" s="235">
        <f t="shared" si="29"/>
        <v>683.87146666668968</v>
      </c>
      <c r="R170" s="235">
        <f t="shared" si="39"/>
        <v>11.397857777778162</v>
      </c>
      <c r="S170" s="235">
        <f t="shared" si="28"/>
        <v>85.48393333333334</v>
      </c>
      <c r="T170" s="247">
        <f t="shared" si="40"/>
        <v>96.881791111111497</v>
      </c>
      <c r="U170" s="238"/>
      <c r="V170" s="520"/>
      <c r="W170" s="234" t="s">
        <v>229</v>
      </c>
      <c r="X170" s="235">
        <f t="shared" si="37"/>
        <v>0</v>
      </c>
      <c r="Y170" s="235">
        <f t="shared" si="35"/>
        <v>0</v>
      </c>
      <c r="Z170" s="235">
        <f t="shared" si="44"/>
        <v>0</v>
      </c>
      <c r="AA170" s="247">
        <f t="shared" si="41"/>
        <v>0</v>
      </c>
      <c r="AB170" s="238"/>
      <c r="AC170" s="520"/>
      <c r="AD170" s="234" t="s">
        <v>229</v>
      </c>
      <c r="AE170" s="235"/>
      <c r="AF170" s="235">
        <f t="shared" si="36"/>
        <v>0</v>
      </c>
      <c r="AG170" s="235"/>
      <c r="AH170" s="247">
        <f t="shared" si="42"/>
        <v>0</v>
      </c>
      <c r="AI170" s="238"/>
      <c r="AK170" s="240"/>
    </row>
    <row r="171" spans="1:37" x14ac:dyDescent="0.2">
      <c r="A171" s="248"/>
      <c r="B171" s="234"/>
      <c r="C171" s="235"/>
      <c r="D171" s="235"/>
      <c r="E171" s="235"/>
      <c r="F171" s="236"/>
      <c r="G171" s="239"/>
      <c r="H171" s="248"/>
      <c r="I171" s="234"/>
      <c r="J171" s="235"/>
      <c r="K171" s="235"/>
      <c r="L171" s="235"/>
      <c r="M171" s="236"/>
      <c r="N171" s="239"/>
      <c r="O171" s="520"/>
      <c r="P171" s="234" t="s">
        <v>230</v>
      </c>
      <c r="Q171" s="235">
        <f t="shared" si="29"/>
        <v>598.38753333335637</v>
      </c>
      <c r="R171" s="235">
        <f t="shared" si="39"/>
        <v>9.9731255555559404</v>
      </c>
      <c r="S171" s="235">
        <f t="shared" si="28"/>
        <v>85.48393333333334</v>
      </c>
      <c r="T171" s="247">
        <f t="shared" si="40"/>
        <v>95.457058888889279</v>
      </c>
      <c r="U171" s="238"/>
      <c r="V171" s="520"/>
      <c r="W171" s="234" t="s">
        <v>230</v>
      </c>
      <c r="X171" s="235">
        <f t="shared" si="37"/>
        <v>0</v>
      </c>
      <c r="Y171" s="235">
        <f t="shared" si="35"/>
        <v>0</v>
      </c>
      <c r="Z171" s="235">
        <f t="shared" si="44"/>
        <v>0</v>
      </c>
      <c r="AA171" s="247">
        <f t="shared" si="41"/>
        <v>0</v>
      </c>
      <c r="AB171" s="238"/>
      <c r="AC171" s="520"/>
      <c r="AD171" s="234" t="s">
        <v>230</v>
      </c>
      <c r="AE171" s="235"/>
      <c r="AF171" s="235">
        <f t="shared" si="36"/>
        <v>0</v>
      </c>
      <c r="AG171" s="235"/>
      <c r="AH171" s="247">
        <f t="shared" si="42"/>
        <v>0</v>
      </c>
      <c r="AI171" s="238"/>
      <c r="AK171" s="240"/>
    </row>
    <row r="172" spans="1:37" x14ac:dyDescent="0.2">
      <c r="A172" s="248"/>
      <c r="B172" s="234"/>
      <c r="C172" s="235"/>
      <c r="D172" s="235"/>
      <c r="E172" s="235"/>
      <c r="F172" s="236"/>
      <c r="G172" s="239"/>
      <c r="H172" s="248"/>
      <c r="I172" s="234"/>
      <c r="J172" s="235"/>
      <c r="K172" s="235"/>
      <c r="L172" s="235"/>
      <c r="M172" s="236"/>
      <c r="N172" s="239"/>
      <c r="O172" s="520"/>
      <c r="P172" s="234" t="s">
        <v>231</v>
      </c>
      <c r="Q172" s="235">
        <f t="shared" si="29"/>
        <v>512.90360000002306</v>
      </c>
      <c r="R172" s="235">
        <f t="shared" si="39"/>
        <v>8.5483933333337188</v>
      </c>
      <c r="S172" s="235">
        <f t="shared" si="28"/>
        <v>85.48393333333334</v>
      </c>
      <c r="T172" s="247">
        <f t="shared" si="40"/>
        <v>94.032326666667061</v>
      </c>
      <c r="U172" s="238"/>
      <c r="V172" s="520"/>
      <c r="W172" s="234" t="s">
        <v>231</v>
      </c>
      <c r="X172" s="235">
        <f t="shared" si="37"/>
        <v>0</v>
      </c>
      <c r="Y172" s="235">
        <f t="shared" si="35"/>
        <v>0</v>
      </c>
      <c r="Z172" s="235">
        <f t="shared" si="44"/>
        <v>0</v>
      </c>
      <c r="AA172" s="247">
        <f t="shared" si="41"/>
        <v>0</v>
      </c>
      <c r="AB172" s="238"/>
      <c r="AC172" s="520"/>
      <c r="AD172" s="234" t="s">
        <v>231</v>
      </c>
      <c r="AE172" s="235"/>
      <c r="AF172" s="235">
        <f t="shared" si="36"/>
        <v>0</v>
      </c>
      <c r="AG172" s="235"/>
      <c r="AH172" s="247">
        <f t="shared" si="42"/>
        <v>0</v>
      </c>
      <c r="AI172" s="238"/>
      <c r="AK172" s="240"/>
    </row>
    <row r="173" spans="1:37" x14ac:dyDescent="0.2">
      <c r="A173" s="248"/>
      <c r="B173" s="234"/>
      <c r="C173" s="235"/>
      <c r="D173" s="235"/>
      <c r="E173" s="235"/>
      <c r="F173" s="236"/>
      <c r="G173" s="239"/>
      <c r="H173" s="248"/>
      <c r="I173" s="234"/>
      <c r="J173" s="235"/>
      <c r="K173" s="235"/>
      <c r="L173" s="235"/>
      <c r="M173" s="236"/>
      <c r="N173" s="239"/>
      <c r="O173" s="520"/>
      <c r="P173" s="234" t="s">
        <v>232</v>
      </c>
      <c r="Q173" s="235">
        <f t="shared" si="29"/>
        <v>427.41966666668975</v>
      </c>
      <c r="R173" s="235">
        <f t="shared" si="39"/>
        <v>7.1236611111114962</v>
      </c>
      <c r="S173" s="235">
        <f t="shared" si="28"/>
        <v>85.48393333333334</v>
      </c>
      <c r="T173" s="247">
        <f t="shared" si="40"/>
        <v>92.607594444444842</v>
      </c>
      <c r="U173" s="238"/>
      <c r="V173" s="520"/>
      <c r="W173" s="234" t="s">
        <v>232</v>
      </c>
      <c r="X173" s="235">
        <f t="shared" si="37"/>
        <v>0</v>
      </c>
      <c r="Y173" s="235">
        <f t="shared" si="35"/>
        <v>0</v>
      </c>
      <c r="Z173" s="235">
        <f t="shared" si="44"/>
        <v>0</v>
      </c>
      <c r="AA173" s="247">
        <f t="shared" si="41"/>
        <v>0</v>
      </c>
      <c r="AB173" s="238"/>
      <c r="AC173" s="520"/>
      <c r="AD173" s="234" t="s">
        <v>232</v>
      </c>
      <c r="AE173" s="235"/>
      <c r="AF173" s="235">
        <f t="shared" si="36"/>
        <v>0</v>
      </c>
      <c r="AG173" s="235"/>
      <c r="AH173" s="247">
        <f t="shared" si="42"/>
        <v>0</v>
      </c>
      <c r="AI173" s="238"/>
      <c r="AK173" s="240"/>
    </row>
    <row r="174" spans="1:37" x14ac:dyDescent="0.2">
      <c r="A174" s="248"/>
      <c r="B174" s="234"/>
      <c r="C174" s="235"/>
      <c r="D174" s="235"/>
      <c r="E174" s="235"/>
      <c r="F174" s="236"/>
      <c r="G174" s="239"/>
      <c r="H174" s="248"/>
      <c r="I174" s="234"/>
      <c r="J174" s="235"/>
      <c r="K174" s="235"/>
      <c r="L174" s="235"/>
      <c r="M174" s="236"/>
      <c r="N174" s="239"/>
      <c r="O174" s="520"/>
      <c r="P174" s="234" t="s">
        <v>233</v>
      </c>
      <c r="Q174" s="235">
        <f t="shared" si="29"/>
        <v>341.93573333335644</v>
      </c>
      <c r="R174" s="235">
        <f t="shared" si="39"/>
        <v>5.6989288888892737</v>
      </c>
      <c r="S174" s="235">
        <f t="shared" si="28"/>
        <v>85.48393333333334</v>
      </c>
      <c r="T174" s="247">
        <f t="shared" si="40"/>
        <v>91.18286222222261</v>
      </c>
      <c r="U174" s="238"/>
      <c r="V174" s="520"/>
      <c r="W174" s="234" t="s">
        <v>233</v>
      </c>
      <c r="X174" s="235">
        <f t="shared" si="37"/>
        <v>0</v>
      </c>
      <c r="Y174" s="235">
        <f t="shared" si="35"/>
        <v>0</v>
      </c>
      <c r="Z174" s="235">
        <f t="shared" si="44"/>
        <v>0</v>
      </c>
      <c r="AA174" s="247">
        <f t="shared" si="41"/>
        <v>0</v>
      </c>
      <c r="AB174" s="238"/>
      <c r="AC174" s="520"/>
      <c r="AD174" s="234" t="s">
        <v>233</v>
      </c>
      <c r="AE174" s="235"/>
      <c r="AF174" s="235">
        <f t="shared" si="36"/>
        <v>0</v>
      </c>
      <c r="AG174" s="235"/>
      <c r="AH174" s="247">
        <f t="shared" si="42"/>
        <v>0</v>
      </c>
      <c r="AI174" s="238"/>
      <c r="AK174" s="240"/>
    </row>
    <row r="175" spans="1:37" x14ac:dyDescent="0.2">
      <c r="A175" s="248"/>
      <c r="B175" s="234"/>
      <c r="C175" s="235"/>
      <c r="D175" s="235"/>
      <c r="E175" s="235"/>
      <c r="F175" s="236"/>
      <c r="G175" s="239"/>
      <c r="H175" s="248"/>
      <c r="I175" s="234"/>
      <c r="J175" s="235"/>
      <c r="K175" s="235"/>
      <c r="L175" s="235"/>
      <c r="M175" s="236"/>
      <c r="N175" s="239"/>
      <c r="O175" s="520"/>
      <c r="P175" s="234" t="s">
        <v>234</v>
      </c>
      <c r="Q175" s="235">
        <f t="shared" si="29"/>
        <v>256.45180000002313</v>
      </c>
      <c r="R175" s="235">
        <f t="shared" si="39"/>
        <v>4.2741966666670521</v>
      </c>
      <c r="S175" s="235">
        <f t="shared" si="28"/>
        <v>85.48393333333334</v>
      </c>
      <c r="T175" s="247">
        <f t="shared" si="40"/>
        <v>89.758130000000392</v>
      </c>
      <c r="U175" s="238"/>
      <c r="V175" s="520"/>
      <c r="W175" s="234" t="s">
        <v>234</v>
      </c>
      <c r="X175" s="235">
        <f t="shared" si="37"/>
        <v>0</v>
      </c>
      <c r="Y175" s="235">
        <f t="shared" si="35"/>
        <v>0</v>
      </c>
      <c r="Z175" s="235">
        <f t="shared" si="44"/>
        <v>0</v>
      </c>
      <c r="AA175" s="247">
        <f t="shared" si="41"/>
        <v>0</v>
      </c>
      <c r="AB175" s="238"/>
      <c r="AC175" s="520"/>
      <c r="AD175" s="234" t="s">
        <v>234</v>
      </c>
      <c r="AE175" s="235"/>
      <c r="AF175" s="235">
        <f t="shared" si="36"/>
        <v>0</v>
      </c>
      <c r="AG175" s="235"/>
      <c r="AH175" s="247">
        <f t="shared" si="42"/>
        <v>0</v>
      </c>
      <c r="AI175" s="238"/>
      <c r="AK175" s="240"/>
    </row>
    <row r="176" spans="1:37" x14ac:dyDescent="0.2">
      <c r="A176" s="248"/>
      <c r="B176" s="234"/>
      <c r="C176" s="235"/>
      <c r="D176" s="235"/>
      <c r="E176" s="235"/>
      <c r="F176" s="236"/>
      <c r="G176" s="239"/>
      <c r="H176" s="248"/>
      <c r="I176" s="234"/>
      <c r="J176" s="235"/>
      <c r="K176" s="235"/>
      <c r="L176" s="235"/>
      <c r="M176" s="236"/>
      <c r="N176" s="239"/>
      <c r="O176" s="520"/>
      <c r="P176" s="234" t="s">
        <v>235</v>
      </c>
      <c r="Q176" s="235">
        <f t="shared" si="29"/>
        <v>170.96786666668979</v>
      </c>
      <c r="R176" s="235">
        <f t="shared" si="39"/>
        <v>2.84946444444483</v>
      </c>
      <c r="S176" s="235">
        <f t="shared" si="28"/>
        <v>85.48393333333334</v>
      </c>
      <c r="T176" s="247">
        <f t="shared" si="40"/>
        <v>88.333397777778174</v>
      </c>
      <c r="U176" s="238"/>
      <c r="V176" s="520"/>
      <c r="W176" s="234" t="s">
        <v>235</v>
      </c>
      <c r="X176" s="235">
        <f t="shared" si="37"/>
        <v>0</v>
      </c>
      <c r="Y176" s="235">
        <f t="shared" si="35"/>
        <v>0</v>
      </c>
      <c r="Z176" s="235">
        <f t="shared" si="44"/>
        <v>0</v>
      </c>
      <c r="AA176" s="247">
        <f t="shared" si="41"/>
        <v>0</v>
      </c>
      <c r="AB176" s="238"/>
      <c r="AC176" s="520"/>
      <c r="AD176" s="234" t="s">
        <v>235</v>
      </c>
      <c r="AE176" s="235"/>
      <c r="AF176" s="235">
        <f t="shared" si="36"/>
        <v>0</v>
      </c>
      <c r="AG176" s="235"/>
      <c r="AH176" s="247">
        <f t="shared" si="42"/>
        <v>0</v>
      </c>
      <c r="AI176" s="238"/>
      <c r="AK176" s="240"/>
    </row>
    <row r="177" spans="1:37" x14ac:dyDescent="0.2">
      <c r="A177" s="248"/>
      <c r="B177" s="234"/>
      <c r="C177" s="235"/>
      <c r="D177" s="235"/>
      <c r="E177" s="235"/>
      <c r="F177" s="236"/>
      <c r="G177" s="239"/>
      <c r="H177" s="248"/>
      <c r="I177" s="234"/>
      <c r="J177" s="235"/>
      <c r="K177" s="235"/>
      <c r="L177" s="235"/>
      <c r="M177" s="236"/>
      <c r="N177" s="239"/>
      <c r="O177" s="521"/>
      <c r="P177" s="234" t="s">
        <v>236</v>
      </c>
      <c r="Q177" s="235">
        <f t="shared" si="29"/>
        <v>85.483933333356447</v>
      </c>
      <c r="R177" s="235">
        <f t="shared" si="39"/>
        <v>1.4247322222226073</v>
      </c>
      <c r="S177" s="235">
        <f t="shared" si="28"/>
        <v>85.48393333333334</v>
      </c>
      <c r="T177" s="247">
        <f t="shared" si="40"/>
        <v>86.908665555555942</v>
      </c>
      <c r="U177" s="238">
        <f>SUM(R166:R177)</f>
        <v>111.12911333333794</v>
      </c>
      <c r="V177" s="521"/>
      <c r="W177" s="234" t="s">
        <v>236</v>
      </c>
      <c r="X177" s="235">
        <f t="shared" si="37"/>
        <v>0</v>
      </c>
      <c r="Y177" s="235">
        <f t="shared" si="35"/>
        <v>0</v>
      </c>
      <c r="Z177" s="235">
        <f t="shared" si="44"/>
        <v>0</v>
      </c>
      <c r="AA177" s="247">
        <f t="shared" si="41"/>
        <v>0</v>
      </c>
      <c r="AB177" s="238">
        <f>SUM(Y166:Y177)</f>
        <v>0</v>
      </c>
      <c r="AC177" s="521"/>
      <c r="AD177" s="234" t="s">
        <v>236</v>
      </c>
      <c r="AE177" s="235"/>
      <c r="AF177" s="235">
        <f t="shared" si="36"/>
        <v>0</v>
      </c>
      <c r="AG177" s="235"/>
      <c r="AH177" s="247">
        <f t="shared" si="42"/>
        <v>0</v>
      </c>
      <c r="AI177" s="238">
        <f>SUM(AF166:AF177)</f>
        <v>0</v>
      </c>
      <c r="AJ177" s="208">
        <f>O166</f>
        <v>2035</v>
      </c>
      <c r="AK177" s="240">
        <f>G177+N177+U177+AB177+AI177</f>
        <v>111.12911333333794</v>
      </c>
    </row>
    <row r="178" spans="1:37" x14ac:dyDescent="0.2">
      <c r="A178" s="248"/>
      <c r="B178" s="234"/>
      <c r="C178" s="235"/>
      <c r="D178" s="235"/>
      <c r="E178" s="235"/>
      <c r="F178" s="236"/>
      <c r="G178" s="239"/>
      <c r="H178" s="248"/>
      <c r="I178" s="234"/>
      <c r="J178" s="235"/>
      <c r="K178" s="235"/>
      <c r="L178" s="235"/>
      <c r="M178" s="236"/>
      <c r="N178" s="239"/>
      <c r="O178" s="519">
        <f>O166+1</f>
        <v>2036</v>
      </c>
      <c r="P178" s="234" t="s">
        <v>225</v>
      </c>
      <c r="Q178" s="235"/>
      <c r="R178" s="235"/>
      <c r="S178" s="235"/>
      <c r="T178" s="247">
        <f t="shared" si="40"/>
        <v>0</v>
      </c>
      <c r="U178" s="237"/>
      <c r="V178" s="519">
        <v>2035</v>
      </c>
      <c r="W178" s="234" t="s">
        <v>225</v>
      </c>
      <c r="X178" s="235">
        <f t="shared" si="37"/>
        <v>0</v>
      </c>
      <c r="Y178" s="235">
        <f t="shared" si="35"/>
        <v>0</v>
      </c>
      <c r="Z178" s="235">
        <f t="shared" si="44"/>
        <v>0</v>
      </c>
      <c r="AA178" s="247">
        <f t="shared" si="41"/>
        <v>0</v>
      </c>
      <c r="AB178" s="237"/>
      <c r="AC178" s="519">
        <v>2035</v>
      </c>
      <c r="AD178" s="234" t="s">
        <v>225</v>
      </c>
      <c r="AE178" s="235"/>
      <c r="AF178" s="235">
        <f t="shared" si="36"/>
        <v>0</v>
      </c>
      <c r="AG178" s="235"/>
      <c r="AH178" s="247">
        <f t="shared" si="42"/>
        <v>0</v>
      </c>
      <c r="AI178" s="237"/>
      <c r="AK178" s="240"/>
    </row>
    <row r="179" spans="1:37" x14ac:dyDescent="0.2">
      <c r="A179" s="248"/>
      <c r="B179" s="234"/>
      <c r="C179" s="235"/>
      <c r="D179" s="235"/>
      <c r="E179" s="235"/>
      <c r="F179" s="236"/>
      <c r="G179" s="239"/>
      <c r="H179" s="248"/>
      <c r="I179" s="234"/>
      <c r="J179" s="235"/>
      <c r="K179" s="235"/>
      <c r="L179" s="235"/>
      <c r="M179" s="236"/>
      <c r="N179" s="239"/>
      <c r="O179" s="520"/>
      <c r="P179" s="234" t="s">
        <v>226</v>
      </c>
      <c r="Q179" s="235"/>
      <c r="R179" s="235"/>
      <c r="S179" s="235"/>
      <c r="T179" s="247">
        <f t="shared" si="40"/>
        <v>0</v>
      </c>
      <c r="U179" s="238"/>
      <c r="V179" s="520"/>
      <c r="W179" s="234" t="s">
        <v>226</v>
      </c>
      <c r="X179" s="235">
        <f t="shared" si="37"/>
        <v>0</v>
      </c>
      <c r="Y179" s="235">
        <f t="shared" si="35"/>
        <v>0</v>
      </c>
      <c r="Z179" s="235">
        <f t="shared" si="44"/>
        <v>0</v>
      </c>
      <c r="AA179" s="247">
        <f t="shared" si="41"/>
        <v>0</v>
      </c>
      <c r="AB179" s="238"/>
      <c r="AC179" s="520"/>
      <c r="AD179" s="234" t="s">
        <v>226</v>
      </c>
      <c r="AE179" s="235"/>
      <c r="AF179" s="235">
        <f t="shared" si="36"/>
        <v>0</v>
      </c>
      <c r="AG179" s="235"/>
      <c r="AH179" s="247">
        <f t="shared" si="42"/>
        <v>0</v>
      </c>
      <c r="AI179" s="238"/>
      <c r="AK179" s="240"/>
    </row>
    <row r="180" spans="1:37" x14ac:dyDescent="0.2">
      <c r="A180" s="248"/>
      <c r="B180" s="234"/>
      <c r="C180" s="235"/>
      <c r="D180" s="235"/>
      <c r="E180" s="235"/>
      <c r="F180" s="236"/>
      <c r="G180" s="239"/>
      <c r="H180" s="248"/>
      <c r="I180" s="234"/>
      <c r="J180" s="235"/>
      <c r="K180" s="235"/>
      <c r="L180" s="235"/>
      <c r="M180" s="236"/>
      <c r="N180" s="239"/>
      <c r="O180" s="520"/>
      <c r="P180" s="234" t="s">
        <v>227</v>
      </c>
      <c r="Q180" s="235"/>
      <c r="R180" s="235"/>
      <c r="S180" s="235"/>
      <c r="T180" s="247">
        <f t="shared" si="40"/>
        <v>0</v>
      </c>
      <c r="U180" s="238"/>
      <c r="V180" s="520"/>
      <c r="W180" s="234" t="s">
        <v>227</v>
      </c>
      <c r="X180" s="235">
        <f t="shared" si="37"/>
        <v>0</v>
      </c>
      <c r="Y180" s="235">
        <f t="shared" si="35"/>
        <v>0</v>
      </c>
      <c r="Z180" s="235">
        <f t="shared" si="44"/>
        <v>0</v>
      </c>
      <c r="AA180" s="247">
        <f t="shared" si="41"/>
        <v>0</v>
      </c>
      <c r="AB180" s="238"/>
      <c r="AC180" s="520"/>
      <c r="AD180" s="234" t="s">
        <v>227</v>
      </c>
      <c r="AE180" s="235"/>
      <c r="AF180" s="235">
        <f t="shared" si="36"/>
        <v>0</v>
      </c>
      <c r="AG180" s="235"/>
      <c r="AH180" s="247">
        <f t="shared" si="42"/>
        <v>0</v>
      </c>
      <c r="AI180" s="238"/>
      <c r="AK180" s="240"/>
    </row>
    <row r="181" spans="1:37" x14ac:dyDescent="0.2">
      <c r="A181" s="248"/>
      <c r="B181" s="234"/>
      <c r="C181" s="235"/>
      <c r="D181" s="235"/>
      <c r="E181" s="235"/>
      <c r="F181" s="236"/>
      <c r="G181" s="239"/>
      <c r="H181" s="248"/>
      <c r="I181" s="234"/>
      <c r="J181" s="235"/>
      <c r="K181" s="235"/>
      <c r="L181" s="235"/>
      <c r="M181" s="236"/>
      <c r="N181" s="239"/>
      <c r="O181" s="520"/>
      <c r="P181" s="234" t="s">
        <v>228</v>
      </c>
      <c r="Q181" s="235"/>
      <c r="R181" s="235"/>
      <c r="S181" s="235"/>
      <c r="T181" s="247">
        <f t="shared" si="40"/>
        <v>0</v>
      </c>
      <c r="U181" s="238"/>
      <c r="V181" s="520"/>
      <c r="W181" s="234" t="s">
        <v>228</v>
      </c>
      <c r="X181" s="235">
        <f t="shared" si="37"/>
        <v>0</v>
      </c>
      <c r="Y181" s="235">
        <f t="shared" si="35"/>
        <v>0</v>
      </c>
      <c r="Z181" s="235">
        <f t="shared" si="44"/>
        <v>0</v>
      </c>
      <c r="AA181" s="247">
        <f t="shared" si="41"/>
        <v>0</v>
      </c>
      <c r="AB181" s="238"/>
      <c r="AC181" s="520"/>
      <c r="AD181" s="234" t="s">
        <v>228</v>
      </c>
      <c r="AE181" s="235"/>
      <c r="AF181" s="235">
        <f t="shared" si="36"/>
        <v>0</v>
      </c>
      <c r="AG181" s="235"/>
      <c r="AH181" s="247">
        <f t="shared" si="42"/>
        <v>0</v>
      </c>
      <c r="AI181" s="238"/>
      <c r="AK181" s="240"/>
    </row>
    <row r="182" spans="1:37" x14ac:dyDescent="0.2">
      <c r="A182" s="248"/>
      <c r="B182" s="234"/>
      <c r="C182" s="235"/>
      <c r="D182" s="235"/>
      <c r="E182" s="235"/>
      <c r="F182" s="236"/>
      <c r="G182" s="239"/>
      <c r="H182" s="248"/>
      <c r="I182" s="234"/>
      <c r="J182" s="235"/>
      <c r="K182" s="235"/>
      <c r="L182" s="235"/>
      <c r="M182" s="236"/>
      <c r="N182" s="239"/>
      <c r="O182" s="520"/>
      <c r="P182" s="234" t="s">
        <v>229</v>
      </c>
      <c r="Q182" s="235"/>
      <c r="R182" s="235"/>
      <c r="S182" s="235"/>
      <c r="T182" s="247">
        <f t="shared" si="40"/>
        <v>0</v>
      </c>
      <c r="U182" s="238"/>
      <c r="V182" s="520"/>
      <c r="W182" s="234" t="s">
        <v>229</v>
      </c>
      <c r="X182" s="235">
        <f t="shared" si="37"/>
        <v>0</v>
      </c>
      <c r="Y182" s="235">
        <f t="shared" si="35"/>
        <v>0</v>
      </c>
      <c r="Z182" s="235">
        <f t="shared" si="44"/>
        <v>0</v>
      </c>
      <c r="AA182" s="247">
        <f t="shared" si="41"/>
        <v>0</v>
      </c>
      <c r="AB182" s="238"/>
      <c r="AC182" s="520"/>
      <c r="AD182" s="234" t="s">
        <v>229</v>
      </c>
      <c r="AE182" s="235"/>
      <c r="AF182" s="235">
        <f t="shared" si="36"/>
        <v>0</v>
      </c>
      <c r="AG182" s="235"/>
      <c r="AH182" s="247">
        <f t="shared" si="42"/>
        <v>0</v>
      </c>
      <c r="AI182" s="238"/>
      <c r="AK182" s="240"/>
    </row>
    <row r="183" spans="1:37" x14ac:dyDescent="0.2">
      <c r="A183" s="248"/>
      <c r="B183" s="234"/>
      <c r="C183" s="235"/>
      <c r="D183" s="235"/>
      <c r="E183" s="235"/>
      <c r="F183" s="236"/>
      <c r="G183" s="239"/>
      <c r="H183" s="248"/>
      <c r="I183" s="234"/>
      <c r="J183" s="235"/>
      <c r="K183" s="235"/>
      <c r="L183" s="235"/>
      <c r="M183" s="236"/>
      <c r="N183" s="239"/>
      <c r="O183" s="520"/>
      <c r="P183" s="234" t="s">
        <v>230</v>
      </c>
      <c r="Q183" s="235"/>
      <c r="R183" s="235"/>
      <c r="S183" s="235"/>
      <c r="T183" s="247">
        <f t="shared" si="40"/>
        <v>0</v>
      </c>
      <c r="U183" s="238"/>
      <c r="V183" s="520"/>
      <c r="W183" s="234" t="s">
        <v>230</v>
      </c>
      <c r="X183" s="235">
        <f t="shared" si="37"/>
        <v>0</v>
      </c>
      <c r="Y183" s="235">
        <f t="shared" si="35"/>
        <v>0</v>
      </c>
      <c r="Z183" s="235">
        <f t="shared" si="44"/>
        <v>0</v>
      </c>
      <c r="AA183" s="247">
        <f t="shared" si="41"/>
        <v>0</v>
      </c>
      <c r="AB183" s="238"/>
      <c r="AC183" s="520"/>
      <c r="AD183" s="234" t="s">
        <v>230</v>
      </c>
      <c r="AE183" s="235"/>
      <c r="AF183" s="235">
        <f t="shared" si="36"/>
        <v>0</v>
      </c>
      <c r="AG183" s="235"/>
      <c r="AH183" s="247">
        <f t="shared" si="42"/>
        <v>0</v>
      </c>
      <c r="AI183" s="238"/>
      <c r="AK183" s="240"/>
    </row>
    <row r="184" spans="1:37" x14ac:dyDescent="0.2">
      <c r="A184" s="248"/>
      <c r="B184" s="234"/>
      <c r="C184" s="235"/>
      <c r="D184" s="235"/>
      <c r="E184" s="235"/>
      <c r="F184" s="236"/>
      <c r="G184" s="239"/>
      <c r="H184" s="248"/>
      <c r="I184" s="234"/>
      <c r="J184" s="235"/>
      <c r="K184" s="235"/>
      <c r="L184" s="235"/>
      <c r="M184" s="236"/>
      <c r="N184" s="239"/>
      <c r="O184" s="520"/>
      <c r="P184" s="234" t="s">
        <v>231</v>
      </c>
      <c r="Q184" s="235"/>
      <c r="R184" s="235"/>
      <c r="S184" s="235"/>
      <c r="T184" s="247">
        <f t="shared" si="40"/>
        <v>0</v>
      </c>
      <c r="U184" s="238"/>
      <c r="V184" s="520"/>
      <c r="W184" s="234" t="s">
        <v>231</v>
      </c>
      <c r="X184" s="235">
        <f t="shared" si="37"/>
        <v>0</v>
      </c>
      <c r="Y184" s="235">
        <f t="shared" si="35"/>
        <v>0</v>
      </c>
      <c r="Z184" s="235">
        <f t="shared" si="44"/>
        <v>0</v>
      </c>
      <c r="AA184" s="247">
        <f t="shared" si="41"/>
        <v>0</v>
      </c>
      <c r="AB184" s="238"/>
      <c r="AC184" s="520"/>
      <c r="AD184" s="234" t="s">
        <v>231</v>
      </c>
      <c r="AE184" s="235"/>
      <c r="AF184" s="235">
        <f t="shared" si="36"/>
        <v>0</v>
      </c>
      <c r="AG184" s="235"/>
      <c r="AH184" s="247">
        <f t="shared" si="42"/>
        <v>0</v>
      </c>
      <c r="AI184" s="238"/>
      <c r="AK184" s="240"/>
    </row>
    <row r="185" spans="1:37" x14ac:dyDescent="0.2">
      <c r="A185" s="248"/>
      <c r="B185" s="234"/>
      <c r="C185" s="235"/>
      <c r="D185" s="235"/>
      <c r="E185" s="235"/>
      <c r="F185" s="236"/>
      <c r="G185" s="239"/>
      <c r="H185" s="248"/>
      <c r="I185" s="234"/>
      <c r="J185" s="235"/>
      <c r="K185" s="235"/>
      <c r="L185" s="235"/>
      <c r="M185" s="236"/>
      <c r="N185" s="239"/>
      <c r="O185" s="520"/>
      <c r="P185" s="234" t="s">
        <v>232</v>
      </c>
      <c r="Q185" s="235"/>
      <c r="R185" s="235"/>
      <c r="S185" s="235"/>
      <c r="T185" s="247">
        <f t="shared" si="40"/>
        <v>0</v>
      </c>
      <c r="U185" s="238"/>
      <c r="V185" s="520"/>
      <c r="W185" s="234" t="s">
        <v>232</v>
      </c>
      <c r="X185" s="235">
        <f t="shared" si="37"/>
        <v>0</v>
      </c>
      <c r="Y185" s="235">
        <f t="shared" si="35"/>
        <v>0</v>
      </c>
      <c r="Z185" s="235">
        <f t="shared" si="44"/>
        <v>0</v>
      </c>
      <c r="AA185" s="247">
        <f t="shared" si="41"/>
        <v>0</v>
      </c>
      <c r="AB185" s="238"/>
      <c r="AC185" s="520"/>
      <c r="AD185" s="234" t="s">
        <v>232</v>
      </c>
      <c r="AE185" s="235"/>
      <c r="AF185" s="235">
        <f t="shared" si="36"/>
        <v>0</v>
      </c>
      <c r="AG185" s="235"/>
      <c r="AH185" s="247">
        <f t="shared" si="42"/>
        <v>0</v>
      </c>
      <c r="AI185" s="238"/>
      <c r="AK185" s="240"/>
    </row>
    <row r="186" spans="1:37" x14ac:dyDescent="0.2">
      <c r="A186" s="248"/>
      <c r="B186" s="234"/>
      <c r="C186" s="235"/>
      <c r="D186" s="235"/>
      <c r="E186" s="235"/>
      <c r="F186" s="236"/>
      <c r="G186" s="239"/>
      <c r="H186" s="248"/>
      <c r="I186" s="234"/>
      <c r="J186" s="235"/>
      <c r="K186" s="235"/>
      <c r="L186" s="235"/>
      <c r="M186" s="236"/>
      <c r="N186" s="239"/>
      <c r="O186" s="520"/>
      <c r="P186" s="234" t="s">
        <v>233</v>
      </c>
      <c r="Q186" s="235"/>
      <c r="R186" s="235"/>
      <c r="S186" s="235"/>
      <c r="T186" s="247">
        <f t="shared" si="40"/>
        <v>0</v>
      </c>
      <c r="U186" s="238"/>
      <c r="V186" s="520"/>
      <c r="W186" s="234" t="s">
        <v>233</v>
      </c>
      <c r="X186" s="235">
        <f t="shared" si="37"/>
        <v>0</v>
      </c>
      <c r="Y186" s="235">
        <f t="shared" si="35"/>
        <v>0</v>
      </c>
      <c r="Z186" s="235">
        <f t="shared" si="44"/>
        <v>0</v>
      </c>
      <c r="AA186" s="247">
        <f t="shared" si="41"/>
        <v>0</v>
      </c>
      <c r="AB186" s="238"/>
      <c r="AC186" s="520"/>
      <c r="AD186" s="234" t="s">
        <v>233</v>
      </c>
      <c r="AE186" s="235"/>
      <c r="AF186" s="235">
        <f t="shared" si="36"/>
        <v>0</v>
      </c>
      <c r="AG186" s="235"/>
      <c r="AH186" s="247">
        <f t="shared" si="42"/>
        <v>0</v>
      </c>
      <c r="AI186" s="238"/>
      <c r="AK186" s="240"/>
    </row>
    <row r="187" spans="1:37" x14ac:dyDescent="0.2">
      <c r="A187" s="248"/>
      <c r="B187" s="234"/>
      <c r="C187" s="235"/>
      <c r="D187" s="235"/>
      <c r="E187" s="235"/>
      <c r="F187" s="236"/>
      <c r="G187" s="239"/>
      <c r="H187" s="248"/>
      <c r="I187" s="234"/>
      <c r="J187" s="235"/>
      <c r="K187" s="235"/>
      <c r="L187" s="235"/>
      <c r="M187" s="236"/>
      <c r="N187" s="239"/>
      <c r="O187" s="520"/>
      <c r="P187" s="234" t="s">
        <v>234</v>
      </c>
      <c r="Q187" s="235"/>
      <c r="R187" s="235"/>
      <c r="S187" s="235"/>
      <c r="T187" s="247">
        <f t="shared" si="40"/>
        <v>0</v>
      </c>
      <c r="U187" s="238"/>
      <c r="V187" s="520"/>
      <c r="W187" s="234" t="s">
        <v>234</v>
      </c>
      <c r="X187" s="235">
        <f t="shared" si="37"/>
        <v>0</v>
      </c>
      <c r="Y187" s="235">
        <f t="shared" si="35"/>
        <v>0</v>
      </c>
      <c r="Z187" s="235">
        <f t="shared" si="44"/>
        <v>0</v>
      </c>
      <c r="AA187" s="247">
        <f t="shared" si="41"/>
        <v>0</v>
      </c>
      <c r="AB187" s="238"/>
      <c r="AC187" s="520"/>
      <c r="AD187" s="234" t="s">
        <v>234</v>
      </c>
      <c r="AE187" s="235"/>
      <c r="AF187" s="235">
        <f t="shared" si="36"/>
        <v>0</v>
      </c>
      <c r="AG187" s="235"/>
      <c r="AH187" s="247">
        <f t="shared" si="42"/>
        <v>0</v>
      </c>
      <c r="AI187" s="238"/>
      <c r="AK187" s="240"/>
    </row>
    <row r="188" spans="1:37" x14ac:dyDescent="0.2">
      <c r="A188" s="248"/>
      <c r="B188" s="234"/>
      <c r="C188" s="235"/>
      <c r="D188" s="235"/>
      <c r="E188" s="235"/>
      <c r="F188" s="236"/>
      <c r="G188" s="239"/>
      <c r="H188" s="248"/>
      <c r="I188" s="234"/>
      <c r="J188" s="235"/>
      <c r="K188" s="235"/>
      <c r="L188" s="235"/>
      <c r="M188" s="236"/>
      <c r="N188" s="239"/>
      <c r="O188" s="520"/>
      <c r="P188" s="234" t="s">
        <v>235</v>
      </c>
      <c r="Q188" s="235"/>
      <c r="R188" s="235"/>
      <c r="S188" s="235"/>
      <c r="T188" s="247">
        <f t="shared" si="40"/>
        <v>0</v>
      </c>
      <c r="U188" s="238"/>
      <c r="V188" s="520"/>
      <c r="W188" s="234" t="s">
        <v>235</v>
      </c>
      <c r="X188" s="235">
        <f t="shared" si="37"/>
        <v>0</v>
      </c>
      <c r="Y188" s="235">
        <f t="shared" si="35"/>
        <v>0</v>
      </c>
      <c r="Z188" s="235">
        <f t="shared" si="44"/>
        <v>0</v>
      </c>
      <c r="AA188" s="247">
        <f t="shared" si="41"/>
        <v>0</v>
      </c>
      <c r="AB188" s="238"/>
      <c r="AC188" s="520"/>
      <c r="AD188" s="234" t="s">
        <v>235</v>
      </c>
      <c r="AE188" s="235"/>
      <c r="AF188" s="235">
        <f t="shared" si="36"/>
        <v>0</v>
      </c>
      <c r="AG188" s="235"/>
      <c r="AH188" s="247">
        <f t="shared" si="42"/>
        <v>0</v>
      </c>
      <c r="AI188" s="238"/>
      <c r="AK188" s="240"/>
    </row>
    <row r="189" spans="1:37" x14ac:dyDescent="0.2">
      <c r="A189" s="248"/>
      <c r="B189" s="234"/>
      <c r="C189" s="235"/>
      <c r="D189" s="235"/>
      <c r="E189" s="235"/>
      <c r="F189" s="236"/>
      <c r="G189" s="239"/>
      <c r="H189" s="248"/>
      <c r="I189" s="234"/>
      <c r="J189" s="235"/>
      <c r="K189" s="235"/>
      <c r="L189" s="235"/>
      <c r="M189" s="236"/>
      <c r="N189" s="239"/>
      <c r="O189" s="521"/>
      <c r="P189" s="234" t="s">
        <v>236</v>
      </c>
      <c r="Q189" s="235"/>
      <c r="R189" s="235"/>
      <c r="S189" s="235"/>
      <c r="T189" s="247">
        <f t="shared" si="40"/>
        <v>0</v>
      </c>
      <c r="U189" s="239">
        <f>SUM(R178:R189)</f>
        <v>0</v>
      </c>
      <c r="V189" s="521"/>
      <c r="W189" s="234" t="s">
        <v>236</v>
      </c>
      <c r="X189" s="235">
        <f t="shared" si="37"/>
        <v>0</v>
      </c>
      <c r="Y189" s="235">
        <f t="shared" si="35"/>
        <v>0</v>
      </c>
      <c r="Z189" s="235">
        <f t="shared" si="44"/>
        <v>0</v>
      </c>
      <c r="AA189" s="247">
        <f t="shared" si="41"/>
        <v>0</v>
      </c>
      <c r="AB189" s="239">
        <f>SUM(Y178:Y189)</f>
        <v>0</v>
      </c>
      <c r="AC189" s="521"/>
      <c r="AD189" s="234" t="s">
        <v>236</v>
      </c>
      <c r="AE189" s="235"/>
      <c r="AF189" s="235">
        <f t="shared" si="36"/>
        <v>0</v>
      </c>
      <c r="AG189" s="235"/>
      <c r="AH189" s="247">
        <f t="shared" si="42"/>
        <v>0</v>
      </c>
      <c r="AI189" s="239">
        <f>SUM(AF178:AF189)</f>
        <v>0</v>
      </c>
      <c r="AJ189" s="208">
        <f>O178</f>
        <v>2036</v>
      </c>
      <c r="AK189" s="240">
        <f>G189+N189+U189+AB189+AI189</f>
        <v>0</v>
      </c>
    </row>
    <row r="190" spans="1:37" x14ac:dyDescent="0.2">
      <c r="A190" s="248"/>
      <c r="B190" s="234"/>
      <c r="C190" s="235"/>
      <c r="D190" s="235"/>
      <c r="E190" s="235"/>
      <c r="F190" s="236"/>
      <c r="G190" s="239"/>
      <c r="H190" s="248"/>
      <c r="I190" s="234"/>
      <c r="J190" s="235"/>
      <c r="K190" s="235"/>
      <c r="L190" s="235"/>
      <c r="M190" s="236"/>
      <c r="N190" s="239"/>
      <c r="O190" s="519">
        <v>2036</v>
      </c>
      <c r="P190" s="234" t="s">
        <v>225</v>
      </c>
      <c r="Q190" s="235"/>
      <c r="R190" s="235"/>
      <c r="S190" s="235"/>
      <c r="T190" s="236">
        <f t="shared" si="40"/>
        <v>0</v>
      </c>
      <c r="U190" s="239"/>
      <c r="V190" s="519">
        <v>2036</v>
      </c>
      <c r="W190" s="234" t="s">
        <v>225</v>
      </c>
      <c r="X190" s="235">
        <f t="shared" si="37"/>
        <v>0</v>
      </c>
      <c r="Y190" s="235">
        <f>X190*$Y$7/12</f>
        <v>0</v>
      </c>
      <c r="Z190" s="235">
        <f t="shared" si="44"/>
        <v>0</v>
      </c>
      <c r="AA190" s="247">
        <f t="shared" si="41"/>
        <v>0</v>
      </c>
      <c r="AB190" s="249"/>
      <c r="AC190" s="519">
        <v>2036</v>
      </c>
      <c r="AD190" s="234" t="s">
        <v>225</v>
      </c>
      <c r="AE190" s="235">
        <f>AE7-AE8</f>
        <v>0</v>
      </c>
      <c r="AF190" s="235">
        <f>AE190*$Y$7/12</f>
        <v>0</v>
      </c>
      <c r="AG190" s="235">
        <f>AE$7/AF$8</f>
        <v>0</v>
      </c>
      <c r="AH190" s="247">
        <f t="shared" si="42"/>
        <v>0</v>
      </c>
      <c r="AI190" s="249"/>
      <c r="AK190" s="240"/>
    </row>
    <row r="191" spans="1:37" x14ac:dyDescent="0.2">
      <c r="A191" s="248"/>
      <c r="B191" s="234"/>
      <c r="C191" s="235"/>
      <c r="D191" s="235"/>
      <c r="E191" s="235"/>
      <c r="F191" s="236"/>
      <c r="G191" s="239"/>
      <c r="H191" s="248"/>
      <c r="I191" s="234"/>
      <c r="J191" s="235"/>
      <c r="K191" s="235"/>
      <c r="L191" s="235"/>
      <c r="M191" s="236"/>
      <c r="N191" s="239"/>
      <c r="O191" s="520"/>
      <c r="P191" s="234" t="s">
        <v>226</v>
      </c>
      <c r="Q191" s="235"/>
      <c r="R191" s="235"/>
      <c r="S191" s="235"/>
      <c r="T191" s="236">
        <f t="shared" si="40"/>
        <v>0</v>
      </c>
      <c r="U191" s="239"/>
      <c r="V191" s="520"/>
      <c r="W191" s="234" t="s">
        <v>226</v>
      </c>
      <c r="X191" s="235">
        <f t="shared" si="37"/>
        <v>0</v>
      </c>
      <c r="Y191" s="235">
        <f t="shared" si="35"/>
        <v>0</v>
      </c>
      <c r="Z191" s="235">
        <f t="shared" si="44"/>
        <v>0</v>
      </c>
      <c r="AA191" s="247">
        <f t="shared" si="41"/>
        <v>0</v>
      </c>
      <c r="AB191" s="250"/>
      <c r="AC191" s="520"/>
      <c r="AD191" s="234" t="s">
        <v>226</v>
      </c>
      <c r="AE191" s="235">
        <f>AE190-AG190</f>
        <v>0</v>
      </c>
      <c r="AF191" s="235">
        <f t="shared" si="36"/>
        <v>0</v>
      </c>
      <c r="AG191" s="235">
        <f>AE$7/AF$8</f>
        <v>0</v>
      </c>
      <c r="AH191" s="247">
        <f t="shared" si="42"/>
        <v>0</v>
      </c>
      <c r="AI191" s="250"/>
      <c r="AK191" s="240"/>
    </row>
    <row r="192" spans="1:37" x14ac:dyDescent="0.2">
      <c r="A192" s="248"/>
      <c r="B192" s="234"/>
      <c r="C192" s="235"/>
      <c r="D192" s="235"/>
      <c r="E192" s="235"/>
      <c r="F192" s="236"/>
      <c r="G192" s="239"/>
      <c r="H192" s="248"/>
      <c r="I192" s="234"/>
      <c r="J192" s="235"/>
      <c r="K192" s="235"/>
      <c r="L192" s="235"/>
      <c r="M192" s="236"/>
      <c r="N192" s="239"/>
      <c r="O192" s="520"/>
      <c r="P192" s="234" t="s">
        <v>227</v>
      </c>
      <c r="Q192" s="235"/>
      <c r="R192" s="235"/>
      <c r="S192" s="235"/>
      <c r="T192" s="236">
        <f t="shared" si="40"/>
        <v>0</v>
      </c>
      <c r="U192" s="239"/>
      <c r="V192" s="520"/>
      <c r="W192" s="234" t="s">
        <v>227</v>
      </c>
      <c r="X192" s="235">
        <f t="shared" si="37"/>
        <v>0</v>
      </c>
      <c r="Y192" s="235">
        <f t="shared" si="35"/>
        <v>0</v>
      </c>
      <c r="Z192" s="235">
        <f t="shared" si="44"/>
        <v>0</v>
      </c>
      <c r="AA192" s="247">
        <f t="shared" si="41"/>
        <v>0</v>
      </c>
      <c r="AB192" s="250"/>
      <c r="AC192" s="520"/>
      <c r="AD192" s="234" t="s">
        <v>227</v>
      </c>
      <c r="AE192" s="235">
        <f t="shared" ref="AE192:AE203" si="45">AE191-AG191</f>
        <v>0</v>
      </c>
      <c r="AF192" s="235">
        <f t="shared" si="36"/>
        <v>0</v>
      </c>
      <c r="AG192" s="235">
        <f t="shared" ref="AG192:AG255" si="46">AE$7/AF$8</f>
        <v>0</v>
      </c>
      <c r="AH192" s="247">
        <f t="shared" si="42"/>
        <v>0</v>
      </c>
      <c r="AI192" s="250"/>
      <c r="AK192" s="240"/>
    </row>
    <row r="193" spans="1:37" x14ac:dyDescent="0.2">
      <c r="A193" s="248"/>
      <c r="B193" s="234"/>
      <c r="C193" s="235"/>
      <c r="D193" s="235"/>
      <c r="E193" s="235"/>
      <c r="F193" s="236"/>
      <c r="G193" s="239"/>
      <c r="H193" s="248"/>
      <c r="I193" s="234"/>
      <c r="J193" s="235"/>
      <c r="K193" s="235"/>
      <c r="L193" s="235"/>
      <c r="M193" s="236"/>
      <c r="N193" s="239"/>
      <c r="O193" s="520"/>
      <c r="P193" s="234" t="s">
        <v>228</v>
      </c>
      <c r="Q193" s="235"/>
      <c r="R193" s="235"/>
      <c r="S193" s="235"/>
      <c r="T193" s="236">
        <f t="shared" si="40"/>
        <v>0</v>
      </c>
      <c r="U193" s="239"/>
      <c r="V193" s="520"/>
      <c r="W193" s="234" t="s">
        <v>228</v>
      </c>
      <c r="X193" s="235">
        <f t="shared" si="37"/>
        <v>0</v>
      </c>
      <c r="Y193" s="235">
        <f t="shared" si="35"/>
        <v>0</v>
      </c>
      <c r="Z193" s="235">
        <f t="shared" si="44"/>
        <v>0</v>
      </c>
      <c r="AA193" s="247">
        <f t="shared" si="41"/>
        <v>0</v>
      </c>
      <c r="AB193" s="250"/>
      <c r="AC193" s="520"/>
      <c r="AD193" s="234" t="s">
        <v>228</v>
      </c>
      <c r="AE193" s="235">
        <f t="shared" si="45"/>
        <v>0</v>
      </c>
      <c r="AF193" s="235">
        <f t="shared" si="36"/>
        <v>0</v>
      </c>
      <c r="AG193" s="235">
        <f t="shared" si="46"/>
        <v>0</v>
      </c>
      <c r="AH193" s="247">
        <f t="shared" si="42"/>
        <v>0</v>
      </c>
      <c r="AI193" s="250"/>
      <c r="AK193" s="240"/>
    </row>
    <row r="194" spans="1:37" x14ac:dyDescent="0.2">
      <c r="A194" s="248"/>
      <c r="B194" s="234"/>
      <c r="C194" s="235"/>
      <c r="D194" s="235"/>
      <c r="E194" s="235"/>
      <c r="F194" s="236"/>
      <c r="G194" s="239"/>
      <c r="H194" s="248"/>
      <c r="I194" s="234"/>
      <c r="J194" s="235"/>
      <c r="K194" s="235"/>
      <c r="L194" s="235"/>
      <c r="M194" s="236"/>
      <c r="N194" s="239"/>
      <c r="O194" s="520"/>
      <c r="P194" s="234" t="s">
        <v>229</v>
      </c>
      <c r="Q194" s="235"/>
      <c r="R194" s="235"/>
      <c r="S194" s="235"/>
      <c r="T194" s="236">
        <f t="shared" si="40"/>
        <v>0</v>
      </c>
      <c r="U194" s="239"/>
      <c r="V194" s="520"/>
      <c r="W194" s="234" t="s">
        <v>229</v>
      </c>
      <c r="X194" s="235">
        <f t="shared" si="37"/>
        <v>0</v>
      </c>
      <c r="Y194" s="235">
        <f t="shared" si="35"/>
        <v>0</v>
      </c>
      <c r="Z194" s="235">
        <f t="shared" si="44"/>
        <v>0</v>
      </c>
      <c r="AA194" s="247">
        <f t="shared" si="41"/>
        <v>0</v>
      </c>
      <c r="AB194" s="250"/>
      <c r="AC194" s="520"/>
      <c r="AD194" s="234" t="s">
        <v>229</v>
      </c>
      <c r="AE194" s="235">
        <f t="shared" si="45"/>
        <v>0</v>
      </c>
      <c r="AF194" s="235">
        <f t="shared" si="36"/>
        <v>0</v>
      </c>
      <c r="AG194" s="235">
        <f t="shared" si="46"/>
        <v>0</v>
      </c>
      <c r="AH194" s="247">
        <f t="shared" si="42"/>
        <v>0</v>
      </c>
      <c r="AI194" s="250"/>
      <c r="AK194" s="240"/>
    </row>
    <row r="195" spans="1:37" x14ac:dyDescent="0.2">
      <c r="A195" s="248"/>
      <c r="B195" s="234"/>
      <c r="C195" s="235"/>
      <c r="D195" s="235"/>
      <c r="E195" s="235"/>
      <c r="F195" s="236"/>
      <c r="G195" s="239"/>
      <c r="H195" s="248"/>
      <c r="I195" s="234"/>
      <c r="J195" s="235"/>
      <c r="K195" s="235"/>
      <c r="L195" s="235"/>
      <c r="M195" s="236"/>
      <c r="N195" s="239"/>
      <c r="O195" s="520"/>
      <c r="P195" s="234" t="s">
        <v>230</v>
      </c>
      <c r="Q195" s="235"/>
      <c r="R195" s="235"/>
      <c r="S195" s="235"/>
      <c r="T195" s="236">
        <f t="shared" si="40"/>
        <v>0</v>
      </c>
      <c r="U195" s="239"/>
      <c r="V195" s="520"/>
      <c r="W195" s="234" t="s">
        <v>230</v>
      </c>
      <c r="X195" s="235">
        <f t="shared" si="37"/>
        <v>0</v>
      </c>
      <c r="Y195" s="235">
        <f t="shared" si="35"/>
        <v>0</v>
      </c>
      <c r="Z195" s="235">
        <f t="shared" si="44"/>
        <v>0</v>
      </c>
      <c r="AA195" s="247">
        <f t="shared" si="41"/>
        <v>0</v>
      </c>
      <c r="AB195" s="250"/>
      <c r="AC195" s="520"/>
      <c r="AD195" s="234" t="s">
        <v>230</v>
      </c>
      <c r="AE195" s="235">
        <f t="shared" si="45"/>
        <v>0</v>
      </c>
      <c r="AF195" s="235">
        <f t="shared" si="36"/>
        <v>0</v>
      </c>
      <c r="AG195" s="235">
        <f t="shared" si="46"/>
        <v>0</v>
      </c>
      <c r="AH195" s="247">
        <f t="shared" si="42"/>
        <v>0</v>
      </c>
      <c r="AI195" s="250"/>
      <c r="AK195" s="240"/>
    </row>
    <row r="196" spans="1:37" x14ac:dyDescent="0.2">
      <c r="A196" s="248"/>
      <c r="B196" s="234"/>
      <c r="C196" s="235"/>
      <c r="D196" s="235"/>
      <c r="E196" s="235"/>
      <c r="F196" s="236"/>
      <c r="G196" s="239"/>
      <c r="H196" s="248"/>
      <c r="I196" s="234"/>
      <c r="J196" s="235"/>
      <c r="K196" s="235"/>
      <c r="L196" s="235"/>
      <c r="M196" s="236"/>
      <c r="N196" s="239"/>
      <c r="O196" s="520"/>
      <c r="P196" s="234" t="s">
        <v>231</v>
      </c>
      <c r="Q196" s="235"/>
      <c r="R196" s="235"/>
      <c r="S196" s="235"/>
      <c r="T196" s="236">
        <f t="shared" si="40"/>
        <v>0</v>
      </c>
      <c r="U196" s="239"/>
      <c r="V196" s="520"/>
      <c r="W196" s="234" t="s">
        <v>231</v>
      </c>
      <c r="X196" s="235">
        <f t="shared" si="37"/>
        <v>0</v>
      </c>
      <c r="Y196" s="235">
        <f t="shared" si="35"/>
        <v>0</v>
      </c>
      <c r="Z196" s="235">
        <f t="shared" si="44"/>
        <v>0</v>
      </c>
      <c r="AA196" s="247">
        <f t="shared" si="41"/>
        <v>0</v>
      </c>
      <c r="AB196" s="250"/>
      <c r="AC196" s="520"/>
      <c r="AD196" s="234" t="s">
        <v>231</v>
      </c>
      <c r="AE196" s="235">
        <f t="shared" si="45"/>
        <v>0</v>
      </c>
      <c r="AF196" s="235">
        <f t="shared" si="36"/>
        <v>0</v>
      </c>
      <c r="AG196" s="235">
        <f t="shared" si="46"/>
        <v>0</v>
      </c>
      <c r="AH196" s="247">
        <f t="shared" si="42"/>
        <v>0</v>
      </c>
      <c r="AI196" s="250"/>
      <c r="AK196" s="240"/>
    </row>
    <row r="197" spans="1:37" x14ac:dyDescent="0.2">
      <c r="A197" s="248"/>
      <c r="B197" s="234"/>
      <c r="C197" s="235"/>
      <c r="D197" s="235"/>
      <c r="E197" s="235"/>
      <c r="F197" s="236"/>
      <c r="G197" s="239"/>
      <c r="H197" s="248"/>
      <c r="I197" s="234"/>
      <c r="J197" s="235"/>
      <c r="K197" s="235"/>
      <c r="L197" s="235"/>
      <c r="M197" s="236"/>
      <c r="N197" s="239"/>
      <c r="O197" s="520"/>
      <c r="P197" s="234" t="s">
        <v>232</v>
      </c>
      <c r="Q197" s="235"/>
      <c r="R197" s="235"/>
      <c r="S197" s="235"/>
      <c r="T197" s="236">
        <f t="shared" si="40"/>
        <v>0</v>
      </c>
      <c r="U197" s="239"/>
      <c r="V197" s="520"/>
      <c r="W197" s="234" t="s">
        <v>232</v>
      </c>
      <c r="X197" s="235">
        <f t="shared" si="37"/>
        <v>0</v>
      </c>
      <c r="Y197" s="235">
        <f t="shared" si="35"/>
        <v>0</v>
      </c>
      <c r="Z197" s="235">
        <f t="shared" si="44"/>
        <v>0</v>
      </c>
      <c r="AA197" s="247">
        <f t="shared" si="41"/>
        <v>0</v>
      </c>
      <c r="AB197" s="250"/>
      <c r="AC197" s="520"/>
      <c r="AD197" s="234" t="s">
        <v>232</v>
      </c>
      <c r="AE197" s="235">
        <f t="shared" si="45"/>
        <v>0</v>
      </c>
      <c r="AF197" s="235">
        <f t="shared" si="36"/>
        <v>0</v>
      </c>
      <c r="AG197" s="235">
        <f t="shared" si="46"/>
        <v>0</v>
      </c>
      <c r="AH197" s="247">
        <f t="shared" si="42"/>
        <v>0</v>
      </c>
      <c r="AI197" s="250"/>
      <c r="AK197" s="240"/>
    </row>
    <row r="198" spans="1:37" x14ac:dyDescent="0.2">
      <c r="A198" s="248"/>
      <c r="B198" s="234"/>
      <c r="C198" s="235"/>
      <c r="D198" s="235"/>
      <c r="E198" s="235"/>
      <c r="F198" s="236"/>
      <c r="G198" s="239"/>
      <c r="H198" s="248"/>
      <c r="I198" s="234"/>
      <c r="J198" s="235"/>
      <c r="K198" s="235"/>
      <c r="L198" s="235"/>
      <c r="M198" s="236"/>
      <c r="N198" s="239"/>
      <c r="O198" s="520"/>
      <c r="P198" s="234" t="s">
        <v>233</v>
      </c>
      <c r="Q198" s="235"/>
      <c r="R198" s="235"/>
      <c r="S198" s="235"/>
      <c r="T198" s="236">
        <f t="shared" si="40"/>
        <v>0</v>
      </c>
      <c r="U198" s="239"/>
      <c r="V198" s="520"/>
      <c r="W198" s="234" t="s">
        <v>233</v>
      </c>
      <c r="X198" s="235">
        <f t="shared" si="37"/>
        <v>0</v>
      </c>
      <c r="Y198" s="235">
        <f t="shared" si="35"/>
        <v>0</v>
      </c>
      <c r="Z198" s="235">
        <f t="shared" si="44"/>
        <v>0</v>
      </c>
      <c r="AA198" s="247">
        <f t="shared" si="41"/>
        <v>0</v>
      </c>
      <c r="AB198" s="250"/>
      <c r="AC198" s="520"/>
      <c r="AD198" s="234" t="s">
        <v>233</v>
      </c>
      <c r="AE198" s="235">
        <f t="shared" si="45"/>
        <v>0</v>
      </c>
      <c r="AF198" s="235">
        <f t="shared" si="36"/>
        <v>0</v>
      </c>
      <c r="AG198" s="235">
        <f t="shared" si="46"/>
        <v>0</v>
      </c>
      <c r="AH198" s="247">
        <f t="shared" si="42"/>
        <v>0</v>
      </c>
      <c r="AI198" s="250"/>
      <c r="AK198" s="240"/>
    </row>
    <row r="199" spans="1:37" x14ac:dyDescent="0.2">
      <c r="A199" s="248"/>
      <c r="B199" s="234"/>
      <c r="C199" s="235"/>
      <c r="D199" s="235"/>
      <c r="E199" s="235"/>
      <c r="F199" s="236"/>
      <c r="G199" s="239"/>
      <c r="H199" s="248"/>
      <c r="I199" s="234"/>
      <c r="J199" s="235"/>
      <c r="K199" s="235"/>
      <c r="L199" s="235"/>
      <c r="M199" s="236"/>
      <c r="N199" s="239"/>
      <c r="O199" s="520"/>
      <c r="P199" s="234" t="s">
        <v>234</v>
      </c>
      <c r="Q199" s="235"/>
      <c r="R199" s="235"/>
      <c r="S199" s="235"/>
      <c r="T199" s="236">
        <f t="shared" si="40"/>
        <v>0</v>
      </c>
      <c r="U199" s="239"/>
      <c r="V199" s="520"/>
      <c r="W199" s="234" t="s">
        <v>234</v>
      </c>
      <c r="X199" s="235">
        <f t="shared" si="37"/>
        <v>0</v>
      </c>
      <c r="Y199" s="235">
        <f t="shared" si="35"/>
        <v>0</v>
      </c>
      <c r="Z199" s="235">
        <f t="shared" si="44"/>
        <v>0</v>
      </c>
      <c r="AA199" s="247">
        <f t="shared" si="41"/>
        <v>0</v>
      </c>
      <c r="AB199" s="250"/>
      <c r="AC199" s="520"/>
      <c r="AD199" s="234" t="s">
        <v>234</v>
      </c>
      <c r="AE199" s="235">
        <f t="shared" si="45"/>
        <v>0</v>
      </c>
      <c r="AF199" s="235">
        <f t="shared" si="36"/>
        <v>0</v>
      </c>
      <c r="AG199" s="235">
        <f t="shared" si="46"/>
        <v>0</v>
      </c>
      <c r="AH199" s="247">
        <f t="shared" si="42"/>
        <v>0</v>
      </c>
      <c r="AI199" s="250"/>
      <c r="AK199" s="240"/>
    </row>
    <row r="200" spans="1:37" x14ac:dyDescent="0.2">
      <c r="A200" s="248"/>
      <c r="B200" s="234"/>
      <c r="C200" s="235"/>
      <c r="D200" s="235"/>
      <c r="E200" s="235"/>
      <c r="F200" s="236"/>
      <c r="G200" s="239"/>
      <c r="H200" s="248"/>
      <c r="I200" s="234"/>
      <c r="J200" s="235"/>
      <c r="K200" s="235"/>
      <c r="L200" s="235"/>
      <c r="M200" s="236"/>
      <c r="N200" s="239"/>
      <c r="O200" s="520"/>
      <c r="P200" s="234" t="s">
        <v>235</v>
      </c>
      <c r="Q200" s="235"/>
      <c r="R200" s="235"/>
      <c r="S200" s="235"/>
      <c r="T200" s="236">
        <f t="shared" si="40"/>
        <v>0</v>
      </c>
      <c r="U200" s="239"/>
      <c r="V200" s="520"/>
      <c r="W200" s="234" t="s">
        <v>235</v>
      </c>
      <c r="X200" s="235">
        <f t="shared" si="37"/>
        <v>0</v>
      </c>
      <c r="Y200" s="235">
        <f t="shared" si="35"/>
        <v>0</v>
      </c>
      <c r="Z200" s="235">
        <f t="shared" si="44"/>
        <v>0</v>
      </c>
      <c r="AA200" s="247">
        <f t="shared" si="41"/>
        <v>0</v>
      </c>
      <c r="AB200" s="250"/>
      <c r="AC200" s="520"/>
      <c r="AD200" s="234" t="s">
        <v>235</v>
      </c>
      <c r="AE200" s="235">
        <f t="shared" si="45"/>
        <v>0</v>
      </c>
      <c r="AF200" s="235">
        <f t="shared" si="36"/>
        <v>0</v>
      </c>
      <c r="AG200" s="235">
        <f t="shared" si="46"/>
        <v>0</v>
      </c>
      <c r="AH200" s="247">
        <f t="shared" si="42"/>
        <v>0</v>
      </c>
      <c r="AI200" s="250"/>
      <c r="AK200" s="240"/>
    </row>
    <row r="201" spans="1:37" x14ac:dyDescent="0.2">
      <c r="A201" s="248"/>
      <c r="B201" s="234"/>
      <c r="C201" s="235"/>
      <c r="D201" s="235"/>
      <c r="E201" s="235"/>
      <c r="F201" s="236"/>
      <c r="G201" s="239"/>
      <c r="H201" s="248"/>
      <c r="I201" s="234"/>
      <c r="J201" s="235"/>
      <c r="K201" s="235"/>
      <c r="L201" s="235"/>
      <c r="M201" s="236"/>
      <c r="N201" s="239"/>
      <c r="O201" s="521"/>
      <c r="P201" s="234" t="s">
        <v>236</v>
      </c>
      <c r="Q201" s="235"/>
      <c r="R201" s="235"/>
      <c r="S201" s="235"/>
      <c r="T201" s="236">
        <f t="shared" si="40"/>
        <v>0</v>
      </c>
      <c r="U201" s="239"/>
      <c r="V201" s="521"/>
      <c r="W201" s="234" t="s">
        <v>236</v>
      </c>
      <c r="X201" s="235">
        <f t="shared" si="37"/>
        <v>0</v>
      </c>
      <c r="Y201" s="235">
        <f t="shared" si="35"/>
        <v>0</v>
      </c>
      <c r="Z201" s="235">
        <f t="shared" si="44"/>
        <v>0</v>
      </c>
      <c r="AA201" s="247">
        <f t="shared" si="41"/>
        <v>0</v>
      </c>
      <c r="AB201" s="251">
        <f>SUM(Y190:Y201)</f>
        <v>0</v>
      </c>
      <c r="AC201" s="521"/>
      <c r="AD201" s="234" t="s">
        <v>236</v>
      </c>
      <c r="AE201" s="235">
        <f t="shared" si="45"/>
        <v>0</v>
      </c>
      <c r="AF201" s="235">
        <f t="shared" si="36"/>
        <v>0</v>
      </c>
      <c r="AG201" s="235">
        <f t="shared" si="46"/>
        <v>0</v>
      </c>
      <c r="AH201" s="247">
        <f t="shared" si="42"/>
        <v>0</v>
      </c>
      <c r="AI201" s="251">
        <f>SUM(AF190:AF201)</f>
        <v>0</v>
      </c>
      <c r="AJ201" s="208">
        <f>O190</f>
        <v>2036</v>
      </c>
      <c r="AK201" s="240">
        <f>G201+N201+U201+AB201+AI201</f>
        <v>0</v>
      </c>
    </row>
    <row r="202" spans="1:37" x14ac:dyDescent="0.2">
      <c r="A202" s="248"/>
      <c r="B202" s="234"/>
      <c r="C202" s="235"/>
      <c r="D202" s="235"/>
      <c r="E202" s="235"/>
      <c r="F202" s="236"/>
      <c r="G202" s="239"/>
      <c r="H202" s="248"/>
      <c r="I202" s="234"/>
      <c r="J202" s="235"/>
      <c r="K202" s="235"/>
      <c r="L202" s="235"/>
      <c r="M202" s="236"/>
      <c r="N202" s="239"/>
      <c r="O202" s="252"/>
      <c r="P202" s="234"/>
      <c r="Q202" s="235"/>
      <c r="R202" s="235"/>
      <c r="S202" s="235"/>
      <c r="T202" s="236"/>
      <c r="U202" s="239"/>
      <c r="V202" s="519">
        <v>2037</v>
      </c>
      <c r="W202" s="234" t="s">
        <v>225</v>
      </c>
      <c r="X202" s="235">
        <f t="shared" si="37"/>
        <v>0</v>
      </c>
      <c r="Y202" s="235">
        <f t="shared" si="35"/>
        <v>0</v>
      </c>
      <c r="Z202" s="235">
        <f t="shared" si="44"/>
        <v>0</v>
      </c>
      <c r="AA202" s="247">
        <f t="shared" si="41"/>
        <v>0</v>
      </c>
      <c r="AB202" s="237"/>
      <c r="AC202" s="519">
        <v>2037</v>
      </c>
      <c r="AD202" s="234" t="s">
        <v>225</v>
      </c>
      <c r="AE202" s="235">
        <f t="shared" si="45"/>
        <v>0</v>
      </c>
      <c r="AF202" s="235">
        <f t="shared" si="36"/>
        <v>0</v>
      </c>
      <c r="AG202" s="235">
        <f t="shared" si="46"/>
        <v>0</v>
      </c>
      <c r="AH202" s="247">
        <f t="shared" si="42"/>
        <v>0</v>
      </c>
      <c r="AI202" s="237"/>
      <c r="AK202" s="240"/>
    </row>
    <row r="203" spans="1:37" x14ac:dyDescent="0.2">
      <c r="A203" s="248"/>
      <c r="B203" s="234"/>
      <c r="C203" s="235"/>
      <c r="D203" s="235"/>
      <c r="E203" s="235"/>
      <c r="F203" s="236"/>
      <c r="G203" s="239"/>
      <c r="H203" s="248"/>
      <c r="I203" s="234"/>
      <c r="J203" s="235"/>
      <c r="K203" s="235"/>
      <c r="L203" s="235"/>
      <c r="M203" s="236"/>
      <c r="N203" s="239"/>
      <c r="O203" s="252"/>
      <c r="P203" s="234"/>
      <c r="Q203" s="235"/>
      <c r="R203" s="235"/>
      <c r="S203" s="235"/>
      <c r="T203" s="236"/>
      <c r="U203" s="239"/>
      <c r="V203" s="520"/>
      <c r="W203" s="234" t="s">
        <v>226</v>
      </c>
      <c r="X203" s="235">
        <f t="shared" si="37"/>
        <v>0</v>
      </c>
      <c r="Y203" s="235">
        <f t="shared" si="35"/>
        <v>0</v>
      </c>
      <c r="Z203" s="235">
        <f t="shared" si="44"/>
        <v>0</v>
      </c>
      <c r="AA203" s="247">
        <f t="shared" si="41"/>
        <v>0</v>
      </c>
      <c r="AB203" s="238"/>
      <c r="AC203" s="520"/>
      <c r="AD203" s="234" t="s">
        <v>226</v>
      </c>
      <c r="AE203" s="235">
        <f t="shared" si="45"/>
        <v>0</v>
      </c>
      <c r="AF203" s="235">
        <f t="shared" si="36"/>
        <v>0</v>
      </c>
      <c r="AG203" s="235">
        <f t="shared" si="46"/>
        <v>0</v>
      </c>
      <c r="AH203" s="247">
        <f t="shared" si="42"/>
        <v>0</v>
      </c>
      <c r="AI203" s="238"/>
      <c r="AK203" s="240"/>
    </row>
    <row r="204" spans="1:37" x14ac:dyDescent="0.2">
      <c r="A204" s="248"/>
      <c r="B204" s="234"/>
      <c r="C204" s="235"/>
      <c r="D204" s="235"/>
      <c r="E204" s="235"/>
      <c r="F204" s="236"/>
      <c r="G204" s="239"/>
      <c r="H204" s="248"/>
      <c r="I204" s="234"/>
      <c r="J204" s="235"/>
      <c r="K204" s="235"/>
      <c r="L204" s="235"/>
      <c r="M204" s="236"/>
      <c r="N204" s="239"/>
      <c r="O204" s="252"/>
      <c r="P204" s="234"/>
      <c r="Q204" s="235"/>
      <c r="R204" s="235"/>
      <c r="S204" s="235"/>
      <c r="T204" s="236"/>
      <c r="U204" s="239"/>
      <c r="V204" s="520"/>
      <c r="W204" s="234" t="s">
        <v>227</v>
      </c>
      <c r="X204" s="235">
        <f t="shared" si="37"/>
        <v>0</v>
      </c>
      <c r="Y204" s="235">
        <f t="shared" si="35"/>
        <v>0</v>
      </c>
      <c r="Z204" s="235">
        <f t="shared" si="44"/>
        <v>0</v>
      </c>
      <c r="AA204" s="247">
        <f t="shared" si="41"/>
        <v>0</v>
      </c>
      <c r="AB204" s="238"/>
      <c r="AC204" s="520"/>
      <c r="AD204" s="234" t="s">
        <v>227</v>
      </c>
      <c r="AE204" s="235">
        <f>AE203-AG203</f>
        <v>0</v>
      </c>
      <c r="AF204" s="235">
        <f t="shared" si="36"/>
        <v>0</v>
      </c>
      <c r="AG204" s="235">
        <f t="shared" si="46"/>
        <v>0</v>
      </c>
      <c r="AH204" s="247">
        <f t="shared" si="42"/>
        <v>0</v>
      </c>
      <c r="AI204" s="238"/>
      <c r="AK204" s="240"/>
    </row>
    <row r="205" spans="1:37" x14ac:dyDescent="0.2">
      <c r="A205" s="248"/>
      <c r="B205" s="234"/>
      <c r="C205" s="235"/>
      <c r="D205" s="235"/>
      <c r="E205" s="235"/>
      <c r="F205" s="236"/>
      <c r="G205" s="239"/>
      <c r="H205" s="248"/>
      <c r="I205" s="234"/>
      <c r="J205" s="235"/>
      <c r="K205" s="235"/>
      <c r="L205" s="235"/>
      <c r="M205" s="236"/>
      <c r="N205" s="239"/>
      <c r="O205" s="252"/>
      <c r="P205" s="234"/>
      <c r="Q205" s="235"/>
      <c r="R205" s="235"/>
      <c r="S205" s="235"/>
      <c r="T205" s="236"/>
      <c r="U205" s="239"/>
      <c r="V205" s="520"/>
      <c r="W205" s="234" t="s">
        <v>228</v>
      </c>
      <c r="X205" s="235">
        <f t="shared" si="37"/>
        <v>0</v>
      </c>
      <c r="Y205" s="235">
        <f t="shared" si="35"/>
        <v>0</v>
      </c>
      <c r="Z205" s="235">
        <f t="shared" si="44"/>
        <v>0</v>
      </c>
      <c r="AA205" s="247">
        <f t="shared" si="41"/>
        <v>0</v>
      </c>
      <c r="AB205" s="238"/>
      <c r="AC205" s="520"/>
      <c r="AD205" s="234" t="s">
        <v>228</v>
      </c>
      <c r="AE205" s="235">
        <f>AE204-AG204</f>
        <v>0</v>
      </c>
      <c r="AF205" s="235">
        <f t="shared" si="36"/>
        <v>0</v>
      </c>
      <c r="AG205" s="235">
        <f t="shared" si="46"/>
        <v>0</v>
      </c>
      <c r="AH205" s="247">
        <f t="shared" si="42"/>
        <v>0</v>
      </c>
      <c r="AI205" s="238"/>
      <c r="AK205" s="240"/>
    </row>
    <row r="206" spans="1:37" x14ac:dyDescent="0.2">
      <c r="A206" s="248"/>
      <c r="B206" s="234"/>
      <c r="C206" s="235"/>
      <c r="D206" s="235"/>
      <c r="E206" s="235"/>
      <c r="F206" s="236"/>
      <c r="G206" s="239"/>
      <c r="H206" s="248"/>
      <c r="I206" s="234"/>
      <c r="J206" s="235"/>
      <c r="K206" s="235"/>
      <c r="L206" s="235"/>
      <c r="M206" s="236"/>
      <c r="N206" s="239"/>
      <c r="O206" s="252"/>
      <c r="P206" s="234"/>
      <c r="Q206" s="235"/>
      <c r="R206" s="235"/>
      <c r="S206" s="235"/>
      <c r="T206" s="236"/>
      <c r="U206" s="239"/>
      <c r="V206" s="520"/>
      <c r="W206" s="234" t="s">
        <v>229</v>
      </c>
      <c r="X206" s="235">
        <f t="shared" si="37"/>
        <v>0</v>
      </c>
      <c r="Y206" s="235">
        <f t="shared" si="35"/>
        <v>0</v>
      </c>
      <c r="Z206" s="235">
        <f t="shared" si="44"/>
        <v>0</v>
      </c>
      <c r="AA206" s="247">
        <f t="shared" si="41"/>
        <v>0</v>
      </c>
      <c r="AB206" s="238"/>
      <c r="AC206" s="520"/>
      <c r="AD206" s="234" t="s">
        <v>229</v>
      </c>
      <c r="AE206" s="235">
        <f>AE205-AG205</f>
        <v>0</v>
      </c>
      <c r="AF206" s="235">
        <f t="shared" si="36"/>
        <v>0</v>
      </c>
      <c r="AG206" s="235">
        <f t="shared" si="46"/>
        <v>0</v>
      </c>
      <c r="AH206" s="247">
        <f t="shared" si="42"/>
        <v>0</v>
      </c>
      <c r="AI206" s="238"/>
      <c r="AK206" s="240"/>
    </row>
    <row r="207" spans="1:37" x14ac:dyDescent="0.2">
      <c r="A207" s="248"/>
      <c r="B207" s="234"/>
      <c r="C207" s="235"/>
      <c r="D207" s="235"/>
      <c r="E207" s="235"/>
      <c r="F207" s="236"/>
      <c r="G207" s="239"/>
      <c r="H207" s="248"/>
      <c r="I207" s="234"/>
      <c r="J207" s="235"/>
      <c r="K207" s="235"/>
      <c r="L207" s="235"/>
      <c r="M207" s="236"/>
      <c r="N207" s="239"/>
      <c r="O207" s="252"/>
      <c r="P207" s="234"/>
      <c r="Q207" s="235"/>
      <c r="R207" s="235"/>
      <c r="S207" s="235"/>
      <c r="T207" s="236"/>
      <c r="U207" s="239"/>
      <c r="V207" s="520"/>
      <c r="W207" s="234" t="s">
        <v>230</v>
      </c>
      <c r="X207" s="235">
        <f t="shared" si="37"/>
        <v>0</v>
      </c>
      <c r="Y207" s="235">
        <f t="shared" si="35"/>
        <v>0</v>
      </c>
      <c r="Z207" s="235">
        <f t="shared" si="44"/>
        <v>0</v>
      </c>
      <c r="AA207" s="247">
        <f t="shared" si="41"/>
        <v>0</v>
      </c>
      <c r="AB207" s="238"/>
      <c r="AC207" s="520"/>
      <c r="AD207" s="234" t="s">
        <v>230</v>
      </c>
      <c r="AE207" s="235">
        <f t="shared" ref="AE207:AE270" si="47">AE206-AG206</f>
        <v>0</v>
      </c>
      <c r="AF207" s="235">
        <f t="shared" si="36"/>
        <v>0</v>
      </c>
      <c r="AG207" s="235">
        <f t="shared" si="46"/>
        <v>0</v>
      </c>
      <c r="AH207" s="247">
        <f t="shared" si="42"/>
        <v>0</v>
      </c>
      <c r="AI207" s="238"/>
      <c r="AK207" s="240"/>
    </row>
    <row r="208" spans="1:37" x14ac:dyDescent="0.2">
      <c r="A208" s="248"/>
      <c r="B208" s="234"/>
      <c r="C208" s="235"/>
      <c r="D208" s="235"/>
      <c r="E208" s="235"/>
      <c r="F208" s="236"/>
      <c r="G208" s="239"/>
      <c r="H208" s="248"/>
      <c r="I208" s="234"/>
      <c r="J208" s="235"/>
      <c r="K208" s="235"/>
      <c r="L208" s="235"/>
      <c r="M208" s="236"/>
      <c r="N208" s="239"/>
      <c r="O208" s="252"/>
      <c r="P208" s="234"/>
      <c r="Q208" s="235"/>
      <c r="R208" s="235"/>
      <c r="S208" s="235"/>
      <c r="T208" s="236"/>
      <c r="U208" s="239"/>
      <c r="V208" s="520"/>
      <c r="W208" s="234" t="s">
        <v>231</v>
      </c>
      <c r="X208" s="235">
        <f t="shared" si="37"/>
        <v>0</v>
      </c>
      <c r="Y208" s="235">
        <f t="shared" si="35"/>
        <v>0</v>
      </c>
      <c r="Z208" s="235">
        <f t="shared" si="44"/>
        <v>0</v>
      </c>
      <c r="AA208" s="247">
        <f t="shared" si="41"/>
        <v>0</v>
      </c>
      <c r="AB208" s="238"/>
      <c r="AC208" s="520"/>
      <c r="AD208" s="234" t="s">
        <v>231</v>
      </c>
      <c r="AE208" s="235">
        <f t="shared" si="47"/>
        <v>0</v>
      </c>
      <c r="AF208" s="235">
        <f t="shared" si="36"/>
        <v>0</v>
      </c>
      <c r="AG208" s="235">
        <f t="shared" si="46"/>
        <v>0</v>
      </c>
      <c r="AH208" s="247">
        <f t="shared" si="42"/>
        <v>0</v>
      </c>
      <c r="AI208" s="238"/>
      <c r="AK208" s="240"/>
    </row>
    <row r="209" spans="1:37" x14ac:dyDescent="0.2">
      <c r="A209" s="248"/>
      <c r="B209" s="234"/>
      <c r="C209" s="235"/>
      <c r="D209" s="235"/>
      <c r="E209" s="235"/>
      <c r="F209" s="236"/>
      <c r="G209" s="239"/>
      <c r="H209" s="248"/>
      <c r="I209" s="234"/>
      <c r="J209" s="235"/>
      <c r="K209" s="235"/>
      <c r="L209" s="235"/>
      <c r="M209" s="236"/>
      <c r="N209" s="239"/>
      <c r="O209" s="252"/>
      <c r="P209" s="234"/>
      <c r="Q209" s="235"/>
      <c r="R209" s="235"/>
      <c r="S209" s="235"/>
      <c r="T209" s="236"/>
      <c r="U209" s="239"/>
      <c r="V209" s="520"/>
      <c r="W209" s="234" t="s">
        <v>232</v>
      </c>
      <c r="X209" s="235">
        <f t="shared" si="37"/>
        <v>0</v>
      </c>
      <c r="Y209" s="235">
        <f t="shared" si="35"/>
        <v>0</v>
      </c>
      <c r="Z209" s="235">
        <f t="shared" si="44"/>
        <v>0</v>
      </c>
      <c r="AA209" s="247">
        <f t="shared" si="41"/>
        <v>0</v>
      </c>
      <c r="AB209" s="238"/>
      <c r="AC209" s="520"/>
      <c r="AD209" s="234" t="s">
        <v>232</v>
      </c>
      <c r="AE209" s="235">
        <f t="shared" si="47"/>
        <v>0</v>
      </c>
      <c r="AF209" s="235">
        <f t="shared" si="36"/>
        <v>0</v>
      </c>
      <c r="AG209" s="235">
        <f t="shared" si="46"/>
        <v>0</v>
      </c>
      <c r="AH209" s="247">
        <f t="shared" si="42"/>
        <v>0</v>
      </c>
      <c r="AI209" s="238"/>
      <c r="AK209" s="240"/>
    </row>
    <row r="210" spans="1:37" x14ac:dyDescent="0.2">
      <c r="A210" s="248"/>
      <c r="B210" s="234"/>
      <c r="C210" s="235"/>
      <c r="D210" s="235"/>
      <c r="E210" s="235"/>
      <c r="F210" s="236"/>
      <c r="G210" s="239"/>
      <c r="H210" s="248"/>
      <c r="I210" s="234"/>
      <c r="J210" s="235"/>
      <c r="K210" s="235"/>
      <c r="L210" s="235"/>
      <c r="M210" s="236"/>
      <c r="N210" s="239"/>
      <c r="O210" s="252"/>
      <c r="P210" s="234"/>
      <c r="Q210" s="235"/>
      <c r="R210" s="235"/>
      <c r="S210" s="235"/>
      <c r="T210" s="236"/>
      <c r="U210" s="239"/>
      <c r="V210" s="520"/>
      <c r="W210" s="234" t="s">
        <v>233</v>
      </c>
      <c r="X210" s="235">
        <f t="shared" si="37"/>
        <v>0</v>
      </c>
      <c r="Y210" s="235">
        <f t="shared" si="35"/>
        <v>0</v>
      </c>
      <c r="Z210" s="235">
        <f t="shared" si="44"/>
        <v>0</v>
      </c>
      <c r="AA210" s="247">
        <f t="shared" si="41"/>
        <v>0</v>
      </c>
      <c r="AB210" s="238"/>
      <c r="AC210" s="520"/>
      <c r="AD210" s="234" t="s">
        <v>233</v>
      </c>
      <c r="AE210" s="235">
        <f t="shared" si="47"/>
        <v>0</v>
      </c>
      <c r="AF210" s="235">
        <f t="shared" si="36"/>
        <v>0</v>
      </c>
      <c r="AG210" s="235">
        <f t="shared" si="46"/>
        <v>0</v>
      </c>
      <c r="AH210" s="247">
        <f t="shared" si="42"/>
        <v>0</v>
      </c>
      <c r="AI210" s="238"/>
      <c r="AK210" s="240"/>
    </row>
    <row r="211" spans="1:37" x14ac:dyDescent="0.2">
      <c r="A211" s="248"/>
      <c r="B211" s="234"/>
      <c r="C211" s="235"/>
      <c r="D211" s="235"/>
      <c r="E211" s="235"/>
      <c r="F211" s="236"/>
      <c r="G211" s="239"/>
      <c r="H211" s="248"/>
      <c r="I211" s="234"/>
      <c r="J211" s="235"/>
      <c r="K211" s="235"/>
      <c r="L211" s="235"/>
      <c r="M211" s="236"/>
      <c r="N211" s="239"/>
      <c r="O211" s="252"/>
      <c r="P211" s="234"/>
      <c r="Q211" s="235"/>
      <c r="R211" s="235"/>
      <c r="S211" s="235"/>
      <c r="T211" s="236"/>
      <c r="U211" s="239"/>
      <c r="V211" s="520"/>
      <c r="W211" s="234" t="s">
        <v>234</v>
      </c>
      <c r="X211" s="235">
        <f t="shared" si="37"/>
        <v>0</v>
      </c>
      <c r="Y211" s="235">
        <f t="shared" si="35"/>
        <v>0</v>
      </c>
      <c r="Z211" s="235">
        <f t="shared" si="44"/>
        <v>0</v>
      </c>
      <c r="AA211" s="247">
        <f t="shared" si="41"/>
        <v>0</v>
      </c>
      <c r="AB211" s="238"/>
      <c r="AC211" s="520"/>
      <c r="AD211" s="234" t="s">
        <v>234</v>
      </c>
      <c r="AE211" s="235">
        <f t="shared" si="47"/>
        <v>0</v>
      </c>
      <c r="AF211" s="235">
        <f t="shared" si="36"/>
        <v>0</v>
      </c>
      <c r="AG211" s="235">
        <f t="shared" si="46"/>
        <v>0</v>
      </c>
      <c r="AH211" s="247">
        <f t="shared" si="42"/>
        <v>0</v>
      </c>
      <c r="AI211" s="238"/>
      <c r="AK211" s="240"/>
    </row>
    <row r="212" spans="1:37" x14ac:dyDescent="0.2">
      <c r="A212" s="248"/>
      <c r="B212" s="234"/>
      <c r="C212" s="235"/>
      <c r="D212" s="235"/>
      <c r="E212" s="235"/>
      <c r="F212" s="236"/>
      <c r="G212" s="239"/>
      <c r="H212" s="248"/>
      <c r="I212" s="234"/>
      <c r="J212" s="235"/>
      <c r="K212" s="235"/>
      <c r="L212" s="235"/>
      <c r="M212" s="236"/>
      <c r="N212" s="239"/>
      <c r="O212" s="252"/>
      <c r="P212" s="234"/>
      <c r="Q212" s="235"/>
      <c r="R212" s="235"/>
      <c r="S212" s="235"/>
      <c r="T212" s="236"/>
      <c r="U212" s="239"/>
      <c r="V212" s="520"/>
      <c r="W212" s="234" t="s">
        <v>235</v>
      </c>
      <c r="X212" s="235">
        <f t="shared" si="37"/>
        <v>0</v>
      </c>
      <c r="Y212" s="235">
        <f t="shared" si="35"/>
        <v>0</v>
      </c>
      <c r="Z212" s="235">
        <f t="shared" si="44"/>
        <v>0</v>
      </c>
      <c r="AA212" s="247">
        <f t="shared" si="41"/>
        <v>0</v>
      </c>
      <c r="AB212" s="238"/>
      <c r="AC212" s="520"/>
      <c r="AD212" s="234" t="s">
        <v>235</v>
      </c>
      <c r="AE212" s="235">
        <f t="shared" si="47"/>
        <v>0</v>
      </c>
      <c r="AF212" s="235">
        <f t="shared" si="36"/>
        <v>0</v>
      </c>
      <c r="AG212" s="235">
        <f t="shared" si="46"/>
        <v>0</v>
      </c>
      <c r="AH212" s="247">
        <f t="shared" si="42"/>
        <v>0</v>
      </c>
      <c r="AI212" s="238"/>
      <c r="AK212" s="240"/>
    </row>
    <row r="213" spans="1:37" x14ac:dyDescent="0.2">
      <c r="A213" s="248"/>
      <c r="B213" s="234"/>
      <c r="C213" s="235"/>
      <c r="D213" s="235"/>
      <c r="E213" s="235"/>
      <c r="F213" s="236"/>
      <c r="G213" s="239"/>
      <c r="H213" s="248"/>
      <c r="I213" s="234"/>
      <c r="J213" s="235"/>
      <c r="K213" s="235"/>
      <c r="L213" s="235"/>
      <c r="M213" s="236"/>
      <c r="N213" s="239"/>
      <c r="O213" s="252"/>
      <c r="P213" s="234"/>
      <c r="Q213" s="235"/>
      <c r="R213" s="235"/>
      <c r="S213" s="235"/>
      <c r="T213" s="236"/>
      <c r="U213" s="239"/>
      <c r="V213" s="521"/>
      <c r="W213" s="234" t="s">
        <v>236</v>
      </c>
      <c r="X213" s="235">
        <f t="shared" si="37"/>
        <v>0</v>
      </c>
      <c r="Y213" s="235">
        <f t="shared" si="35"/>
        <v>0</v>
      </c>
      <c r="Z213" s="235">
        <f t="shared" si="44"/>
        <v>0</v>
      </c>
      <c r="AA213" s="247">
        <f t="shared" si="41"/>
        <v>0</v>
      </c>
      <c r="AB213" s="239">
        <f>SUM(Y202:Y213)</f>
        <v>0</v>
      </c>
      <c r="AC213" s="521"/>
      <c r="AD213" s="234" t="s">
        <v>236</v>
      </c>
      <c r="AE213" s="235">
        <f t="shared" si="47"/>
        <v>0</v>
      </c>
      <c r="AF213" s="235">
        <f t="shared" si="36"/>
        <v>0</v>
      </c>
      <c r="AG213" s="235">
        <f t="shared" si="46"/>
        <v>0</v>
      </c>
      <c r="AH213" s="247">
        <f t="shared" si="42"/>
        <v>0</v>
      </c>
      <c r="AI213" s="239">
        <f>SUM(AF202:AF213)</f>
        <v>0</v>
      </c>
      <c r="AJ213" s="208">
        <f>V202</f>
        <v>2037</v>
      </c>
      <c r="AK213" s="240">
        <f>G213+N213+U213+AB213+AI213</f>
        <v>0</v>
      </c>
    </row>
    <row r="214" spans="1:37" x14ac:dyDescent="0.2">
      <c r="A214" s="248"/>
      <c r="B214" s="234"/>
      <c r="C214" s="235"/>
      <c r="D214" s="235"/>
      <c r="E214" s="235"/>
      <c r="F214" s="236"/>
      <c r="G214" s="239"/>
      <c r="H214" s="248"/>
      <c r="I214" s="234"/>
      <c r="J214" s="235"/>
      <c r="K214" s="235"/>
      <c r="L214" s="235"/>
      <c r="M214" s="236"/>
      <c r="N214" s="239"/>
      <c r="O214" s="252"/>
      <c r="P214" s="234"/>
      <c r="Q214" s="235"/>
      <c r="R214" s="235"/>
      <c r="S214" s="235"/>
      <c r="T214" s="236"/>
      <c r="U214" s="239"/>
      <c r="V214" s="519">
        <v>2038</v>
      </c>
      <c r="W214" s="234" t="s">
        <v>225</v>
      </c>
      <c r="X214" s="235">
        <f t="shared" si="37"/>
        <v>0</v>
      </c>
      <c r="Y214" s="235">
        <f t="shared" si="35"/>
        <v>0</v>
      </c>
      <c r="Z214" s="235">
        <f t="shared" si="44"/>
        <v>0</v>
      </c>
      <c r="AA214" s="247">
        <f t="shared" si="41"/>
        <v>0</v>
      </c>
      <c r="AB214" s="237"/>
      <c r="AC214" s="519">
        <v>2038</v>
      </c>
      <c r="AD214" s="234" t="s">
        <v>225</v>
      </c>
      <c r="AE214" s="235">
        <f t="shared" si="47"/>
        <v>0</v>
      </c>
      <c r="AF214" s="235">
        <f t="shared" si="36"/>
        <v>0</v>
      </c>
      <c r="AG214" s="235">
        <f t="shared" si="46"/>
        <v>0</v>
      </c>
      <c r="AH214" s="247">
        <f t="shared" si="42"/>
        <v>0</v>
      </c>
      <c r="AI214" s="237"/>
      <c r="AK214" s="240"/>
    </row>
    <row r="215" spans="1:37" x14ac:dyDescent="0.2">
      <c r="A215" s="248"/>
      <c r="B215" s="234"/>
      <c r="C215" s="235"/>
      <c r="D215" s="235"/>
      <c r="E215" s="235"/>
      <c r="F215" s="236"/>
      <c r="G215" s="239"/>
      <c r="H215" s="248"/>
      <c r="I215" s="234"/>
      <c r="J215" s="235"/>
      <c r="K215" s="235"/>
      <c r="L215" s="235"/>
      <c r="M215" s="236"/>
      <c r="N215" s="239"/>
      <c r="O215" s="252"/>
      <c r="P215" s="234"/>
      <c r="Q215" s="235"/>
      <c r="R215" s="235"/>
      <c r="S215" s="235"/>
      <c r="T215" s="236"/>
      <c r="U215" s="239"/>
      <c r="V215" s="520"/>
      <c r="W215" s="234" t="s">
        <v>226</v>
      </c>
      <c r="X215" s="235">
        <f t="shared" si="37"/>
        <v>0</v>
      </c>
      <c r="Y215" s="235">
        <f t="shared" si="35"/>
        <v>0</v>
      </c>
      <c r="Z215" s="235">
        <f t="shared" si="44"/>
        <v>0</v>
      </c>
      <c r="AA215" s="247">
        <f t="shared" si="41"/>
        <v>0</v>
      </c>
      <c r="AB215" s="238"/>
      <c r="AC215" s="520"/>
      <c r="AD215" s="234" t="s">
        <v>226</v>
      </c>
      <c r="AE215" s="235">
        <f t="shared" si="47"/>
        <v>0</v>
      </c>
      <c r="AF215" s="235">
        <f t="shared" si="36"/>
        <v>0</v>
      </c>
      <c r="AG215" s="235">
        <f t="shared" si="46"/>
        <v>0</v>
      </c>
      <c r="AH215" s="247">
        <f t="shared" si="42"/>
        <v>0</v>
      </c>
      <c r="AI215" s="238"/>
      <c r="AK215" s="240"/>
    </row>
    <row r="216" spans="1:37" x14ac:dyDescent="0.2">
      <c r="A216" s="248"/>
      <c r="B216" s="234"/>
      <c r="C216" s="235"/>
      <c r="D216" s="235"/>
      <c r="E216" s="235"/>
      <c r="F216" s="236"/>
      <c r="G216" s="239"/>
      <c r="H216" s="248"/>
      <c r="I216" s="234"/>
      <c r="J216" s="235"/>
      <c r="K216" s="235"/>
      <c r="L216" s="235"/>
      <c r="M216" s="236"/>
      <c r="N216" s="239"/>
      <c r="O216" s="252"/>
      <c r="P216" s="234"/>
      <c r="Q216" s="235"/>
      <c r="R216" s="235"/>
      <c r="S216" s="235"/>
      <c r="T216" s="236"/>
      <c r="U216" s="239"/>
      <c r="V216" s="520"/>
      <c r="W216" s="234" t="s">
        <v>227</v>
      </c>
      <c r="X216" s="235">
        <f t="shared" si="37"/>
        <v>0</v>
      </c>
      <c r="Y216" s="235">
        <f t="shared" si="35"/>
        <v>0</v>
      </c>
      <c r="Z216" s="235">
        <f t="shared" si="44"/>
        <v>0</v>
      </c>
      <c r="AA216" s="247">
        <f t="shared" si="41"/>
        <v>0</v>
      </c>
      <c r="AB216" s="238"/>
      <c r="AC216" s="520"/>
      <c r="AD216" s="234" t="s">
        <v>227</v>
      </c>
      <c r="AE216" s="235">
        <f t="shared" si="47"/>
        <v>0</v>
      </c>
      <c r="AF216" s="235">
        <f t="shared" si="36"/>
        <v>0</v>
      </c>
      <c r="AG216" s="235">
        <f t="shared" si="46"/>
        <v>0</v>
      </c>
      <c r="AH216" s="247">
        <f t="shared" si="42"/>
        <v>0</v>
      </c>
      <c r="AI216" s="238"/>
      <c r="AK216" s="240"/>
    </row>
    <row r="217" spans="1:37" x14ac:dyDescent="0.2">
      <c r="A217" s="248"/>
      <c r="B217" s="234"/>
      <c r="C217" s="235"/>
      <c r="D217" s="235"/>
      <c r="E217" s="235"/>
      <c r="F217" s="236"/>
      <c r="G217" s="239"/>
      <c r="H217" s="248"/>
      <c r="I217" s="234"/>
      <c r="J217" s="235"/>
      <c r="K217" s="235"/>
      <c r="L217" s="235"/>
      <c r="M217" s="236"/>
      <c r="N217" s="239"/>
      <c r="O217" s="252"/>
      <c r="P217" s="234"/>
      <c r="Q217" s="235"/>
      <c r="R217" s="235"/>
      <c r="S217" s="235"/>
      <c r="T217" s="236"/>
      <c r="U217" s="239"/>
      <c r="V217" s="520"/>
      <c r="W217" s="234" t="s">
        <v>228</v>
      </c>
      <c r="X217" s="235">
        <f t="shared" si="37"/>
        <v>0</v>
      </c>
      <c r="Y217" s="235">
        <f t="shared" si="35"/>
        <v>0</v>
      </c>
      <c r="Z217" s="235">
        <f t="shared" si="44"/>
        <v>0</v>
      </c>
      <c r="AA217" s="247">
        <f t="shared" si="41"/>
        <v>0</v>
      </c>
      <c r="AB217" s="238"/>
      <c r="AC217" s="520"/>
      <c r="AD217" s="234" t="s">
        <v>228</v>
      </c>
      <c r="AE217" s="235">
        <f t="shared" si="47"/>
        <v>0</v>
      </c>
      <c r="AF217" s="235">
        <f t="shared" si="36"/>
        <v>0</v>
      </c>
      <c r="AG217" s="235">
        <f t="shared" si="46"/>
        <v>0</v>
      </c>
      <c r="AH217" s="247">
        <f t="shared" si="42"/>
        <v>0</v>
      </c>
      <c r="AI217" s="238"/>
      <c r="AK217" s="240"/>
    </row>
    <row r="218" spans="1:37" x14ac:dyDescent="0.2">
      <c r="A218" s="248"/>
      <c r="B218" s="234"/>
      <c r="C218" s="235"/>
      <c r="D218" s="235"/>
      <c r="E218" s="235"/>
      <c r="F218" s="236"/>
      <c r="G218" s="239"/>
      <c r="H218" s="248"/>
      <c r="I218" s="234"/>
      <c r="J218" s="235"/>
      <c r="K218" s="235"/>
      <c r="L218" s="235"/>
      <c r="M218" s="236"/>
      <c r="N218" s="239"/>
      <c r="O218" s="252"/>
      <c r="P218" s="234"/>
      <c r="Q218" s="235"/>
      <c r="R218" s="235"/>
      <c r="S218" s="235"/>
      <c r="T218" s="236"/>
      <c r="U218" s="239"/>
      <c r="V218" s="520"/>
      <c r="W218" s="234" t="s">
        <v>229</v>
      </c>
      <c r="X218" s="235">
        <f t="shared" si="37"/>
        <v>0</v>
      </c>
      <c r="Y218" s="235">
        <f t="shared" si="35"/>
        <v>0</v>
      </c>
      <c r="Z218" s="235">
        <f t="shared" si="44"/>
        <v>0</v>
      </c>
      <c r="AA218" s="247">
        <f t="shared" si="41"/>
        <v>0</v>
      </c>
      <c r="AB218" s="238"/>
      <c r="AC218" s="520"/>
      <c r="AD218" s="234" t="s">
        <v>229</v>
      </c>
      <c r="AE218" s="235">
        <f t="shared" si="47"/>
        <v>0</v>
      </c>
      <c r="AF218" s="235">
        <f t="shared" si="36"/>
        <v>0</v>
      </c>
      <c r="AG218" s="235">
        <f t="shared" si="46"/>
        <v>0</v>
      </c>
      <c r="AH218" s="247">
        <f t="shared" si="42"/>
        <v>0</v>
      </c>
      <c r="AI218" s="238"/>
      <c r="AK218" s="240"/>
    </row>
    <row r="219" spans="1:37" x14ac:dyDescent="0.2">
      <c r="A219" s="248"/>
      <c r="B219" s="234"/>
      <c r="C219" s="235"/>
      <c r="D219" s="235"/>
      <c r="E219" s="235"/>
      <c r="F219" s="236"/>
      <c r="G219" s="239"/>
      <c r="H219" s="248"/>
      <c r="I219" s="234"/>
      <c r="J219" s="235"/>
      <c r="K219" s="235"/>
      <c r="L219" s="235"/>
      <c r="M219" s="236"/>
      <c r="N219" s="239"/>
      <c r="O219" s="252"/>
      <c r="P219" s="234"/>
      <c r="Q219" s="235"/>
      <c r="R219" s="235"/>
      <c r="S219" s="235"/>
      <c r="T219" s="236"/>
      <c r="U219" s="239"/>
      <c r="V219" s="520"/>
      <c r="W219" s="234" t="s">
        <v>230</v>
      </c>
      <c r="X219" s="235">
        <f t="shared" si="37"/>
        <v>0</v>
      </c>
      <c r="Y219" s="235">
        <f t="shared" ref="Y219:Y273" si="48">X219*$Y$7/12</f>
        <v>0</v>
      </c>
      <c r="Z219" s="235">
        <f t="shared" si="44"/>
        <v>0</v>
      </c>
      <c r="AA219" s="247">
        <f t="shared" si="41"/>
        <v>0</v>
      </c>
      <c r="AB219" s="238"/>
      <c r="AC219" s="520"/>
      <c r="AD219" s="234" t="s">
        <v>230</v>
      </c>
      <c r="AE219" s="235">
        <f t="shared" si="47"/>
        <v>0</v>
      </c>
      <c r="AF219" s="235">
        <f t="shared" ref="AF219:AF282" si="49">AE219*$Y$7/12</f>
        <v>0</v>
      </c>
      <c r="AG219" s="235">
        <f t="shared" si="46"/>
        <v>0</v>
      </c>
      <c r="AH219" s="247">
        <f t="shared" si="42"/>
        <v>0</v>
      </c>
      <c r="AI219" s="238"/>
      <c r="AK219" s="240"/>
    </row>
    <row r="220" spans="1:37" x14ac:dyDescent="0.2">
      <c r="A220" s="248"/>
      <c r="B220" s="234"/>
      <c r="C220" s="235"/>
      <c r="D220" s="235"/>
      <c r="E220" s="235"/>
      <c r="F220" s="236"/>
      <c r="G220" s="239"/>
      <c r="H220" s="248"/>
      <c r="I220" s="234"/>
      <c r="J220" s="235"/>
      <c r="K220" s="235"/>
      <c r="L220" s="235"/>
      <c r="M220" s="236"/>
      <c r="N220" s="239"/>
      <c r="O220" s="252"/>
      <c r="P220" s="234"/>
      <c r="Q220" s="235"/>
      <c r="R220" s="235"/>
      <c r="S220" s="235"/>
      <c r="T220" s="236"/>
      <c r="U220" s="239"/>
      <c r="V220" s="520"/>
      <c r="W220" s="234" t="s">
        <v>231</v>
      </c>
      <c r="X220" s="235">
        <f t="shared" ref="X220:X273" si="50">X219-Z219</f>
        <v>0</v>
      </c>
      <c r="Y220" s="235">
        <f t="shared" si="48"/>
        <v>0</v>
      </c>
      <c r="Z220" s="235">
        <f t="shared" si="44"/>
        <v>0</v>
      </c>
      <c r="AA220" s="247">
        <f t="shared" si="41"/>
        <v>0</v>
      </c>
      <c r="AB220" s="238"/>
      <c r="AC220" s="520"/>
      <c r="AD220" s="234" t="s">
        <v>231</v>
      </c>
      <c r="AE220" s="235">
        <f t="shared" si="47"/>
        <v>0</v>
      </c>
      <c r="AF220" s="235">
        <f t="shared" si="49"/>
        <v>0</v>
      </c>
      <c r="AG220" s="235">
        <f t="shared" si="46"/>
        <v>0</v>
      </c>
      <c r="AH220" s="247">
        <f t="shared" si="42"/>
        <v>0</v>
      </c>
      <c r="AI220" s="238"/>
      <c r="AK220" s="240"/>
    </row>
    <row r="221" spans="1:37" x14ac:dyDescent="0.2">
      <c r="A221" s="248"/>
      <c r="B221" s="234"/>
      <c r="C221" s="235"/>
      <c r="D221" s="235"/>
      <c r="E221" s="235"/>
      <c r="F221" s="236"/>
      <c r="G221" s="239"/>
      <c r="H221" s="248"/>
      <c r="I221" s="234"/>
      <c r="J221" s="235"/>
      <c r="K221" s="235"/>
      <c r="L221" s="235"/>
      <c r="M221" s="236"/>
      <c r="N221" s="239"/>
      <c r="O221" s="252"/>
      <c r="P221" s="234"/>
      <c r="Q221" s="235"/>
      <c r="R221" s="235"/>
      <c r="S221" s="235"/>
      <c r="T221" s="236"/>
      <c r="U221" s="239"/>
      <c r="V221" s="520"/>
      <c r="W221" s="234" t="s">
        <v>232</v>
      </c>
      <c r="X221" s="235">
        <f t="shared" si="50"/>
        <v>0</v>
      </c>
      <c r="Y221" s="235">
        <f t="shared" si="48"/>
        <v>0</v>
      </c>
      <c r="Z221" s="235">
        <f t="shared" si="44"/>
        <v>0</v>
      </c>
      <c r="AA221" s="247">
        <f t="shared" si="41"/>
        <v>0</v>
      </c>
      <c r="AB221" s="238"/>
      <c r="AC221" s="520"/>
      <c r="AD221" s="234" t="s">
        <v>232</v>
      </c>
      <c r="AE221" s="235">
        <f t="shared" si="47"/>
        <v>0</v>
      </c>
      <c r="AF221" s="235">
        <f t="shared" si="49"/>
        <v>0</v>
      </c>
      <c r="AG221" s="235">
        <f t="shared" si="46"/>
        <v>0</v>
      </c>
      <c r="AH221" s="247">
        <f t="shared" si="42"/>
        <v>0</v>
      </c>
      <c r="AI221" s="238"/>
      <c r="AK221" s="240"/>
    </row>
    <row r="222" spans="1:37" x14ac:dyDescent="0.2">
      <c r="A222" s="248"/>
      <c r="B222" s="234"/>
      <c r="C222" s="235"/>
      <c r="D222" s="235"/>
      <c r="E222" s="235"/>
      <c r="F222" s="236"/>
      <c r="G222" s="239"/>
      <c r="H222" s="248"/>
      <c r="I222" s="234"/>
      <c r="J222" s="235"/>
      <c r="K222" s="235"/>
      <c r="L222" s="235"/>
      <c r="M222" s="236"/>
      <c r="N222" s="239"/>
      <c r="O222" s="252"/>
      <c r="P222" s="234"/>
      <c r="Q222" s="235"/>
      <c r="R222" s="235"/>
      <c r="S222" s="235"/>
      <c r="T222" s="236"/>
      <c r="U222" s="239"/>
      <c r="V222" s="520"/>
      <c r="W222" s="234" t="s">
        <v>233</v>
      </c>
      <c r="X222" s="235">
        <f t="shared" si="50"/>
        <v>0</v>
      </c>
      <c r="Y222" s="235">
        <f t="shared" si="48"/>
        <v>0</v>
      </c>
      <c r="Z222" s="235">
        <f t="shared" si="44"/>
        <v>0</v>
      </c>
      <c r="AA222" s="247">
        <f t="shared" si="41"/>
        <v>0</v>
      </c>
      <c r="AB222" s="238"/>
      <c r="AC222" s="520"/>
      <c r="AD222" s="234" t="s">
        <v>233</v>
      </c>
      <c r="AE222" s="235">
        <f t="shared" si="47"/>
        <v>0</v>
      </c>
      <c r="AF222" s="235">
        <f t="shared" si="49"/>
        <v>0</v>
      </c>
      <c r="AG222" s="235">
        <f t="shared" si="46"/>
        <v>0</v>
      </c>
      <c r="AH222" s="247">
        <f t="shared" si="42"/>
        <v>0</v>
      </c>
      <c r="AI222" s="238"/>
      <c r="AK222" s="240"/>
    </row>
    <row r="223" spans="1:37" x14ac:dyDescent="0.2">
      <c r="A223" s="248"/>
      <c r="B223" s="234"/>
      <c r="C223" s="235"/>
      <c r="D223" s="235"/>
      <c r="E223" s="235"/>
      <c r="F223" s="236"/>
      <c r="G223" s="239"/>
      <c r="H223" s="248"/>
      <c r="I223" s="234"/>
      <c r="J223" s="235"/>
      <c r="K223" s="235"/>
      <c r="L223" s="235"/>
      <c r="M223" s="236"/>
      <c r="N223" s="239"/>
      <c r="O223" s="252"/>
      <c r="P223" s="234"/>
      <c r="Q223" s="235"/>
      <c r="R223" s="235"/>
      <c r="S223" s="235"/>
      <c r="T223" s="236"/>
      <c r="U223" s="239"/>
      <c r="V223" s="520"/>
      <c r="W223" s="234" t="s">
        <v>234</v>
      </c>
      <c r="X223" s="235">
        <f t="shared" si="50"/>
        <v>0</v>
      </c>
      <c r="Y223" s="235">
        <f t="shared" si="48"/>
        <v>0</v>
      </c>
      <c r="Z223" s="235">
        <f t="shared" si="44"/>
        <v>0</v>
      </c>
      <c r="AA223" s="247">
        <f t="shared" si="41"/>
        <v>0</v>
      </c>
      <c r="AB223" s="238"/>
      <c r="AC223" s="520"/>
      <c r="AD223" s="234" t="s">
        <v>234</v>
      </c>
      <c r="AE223" s="235">
        <f t="shared" si="47"/>
        <v>0</v>
      </c>
      <c r="AF223" s="235">
        <f t="shared" si="49"/>
        <v>0</v>
      </c>
      <c r="AG223" s="235">
        <f t="shared" si="46"/>
        <v>0</v>
      </c>
      <c r="AH223" s="247">
        <f t="shared" si="42"/>
        <v>0</v>
      </c>
      <c r="AI223" s="238"/>
      <c r="AK223" s="240"/>
    </row>
    <row r="224" spans="1:37" x14ac:dyDescent="0.2">
      <c r="A224" s="248"/>
      <c r="B224" s="234"/>
      <c r="C224" s="235"/>
      <c r="D224" s="235"/>
      <c r="E224" s="235"/>
      <c r="F224" s="236"/>
      <c r="G224" s="239"/>
      <c r="H224" s="248"/>
      <c r="I224" s="234"/>
      <c r="J224" s="235"/>
      <c r="K224" s="235"/>
      <c r="L224" s="235"/>
      <c r="M224" s="236"/>
      <c r="N224" s="239"/>
      <c r="O224" s="252"/>
      <c r="P224" s="234"/>
      <c r="Q224" s="235"/>
      <c r="R224" s="235"/>
      <c r="S224" s="235"/>
      <c r="T224" s="236"/>
      <c r="U224" s="239"/>
      <c r="V224" s="520"/>
      <c r="W224" s="234" t="s">
        <v>235</v>
      </c>
      <c r="X224" s="235">
        <f t="shared" si="50"/>
        <v>0</v>
      </c>
      <c r="Y224" s="235">
        <f t="shared" si="48"/>
        <v>0</v>
      </c>
      <c r="Z224" s="235">
        <f t="shared" si="44"/>
        <v>0</v>
      </c>
      <c r="AA224" s="247">
        <f t="shared" si="41"/>
        <v>0</v>
      </c>
      <c r="AB224" s="238"/>
      <c r="AC224" s="520"/>
      <c r="AD224" s="234" t="s">
        <v>235</v>
      </c>
      <c r="AE224" s="235">
        <f t="shared" si="47"/>
        <v>0</v>
      </c>
      <c r="AF224" s="235">
        <f t="shared" si="49"/>
        <v>0</v>
      </c>
      <c r="AG224" s="235">
        <f t="shared" si="46"/>
        <v>0</v>
      </c>
      <c r="AH224" s="247">
        <f t="shared" si="42"/>
        <v>0</v>
      </c>
      <c r="AI224" s="238"/>
      <c r="AK224" s="240"/>
    </row>
    <row r="225" spans="1:37" x14ac:dyDescent="0.2">
      <c r="A225" s="248"/>
      <c r="B225" s="234"/>
      <c r="C225" s="235"/>
      <c r="D225" s="235"/>
      <c r="E225" s="235"/>
      <c r="F225" s="236"/>
      <c r="G225" s="239"/>
      <c r="H225" s="248"/>
      <c r="I225" s="234"/>
      <c r="J225" s="235"/>
      <c r="K225" s="235"/>
      <c r="L225" s="235"/>
      <c r="M225" s="236"/>
      <c r="N225" s="239"/>
      <c r="O225" s="252"/>
      <c r="P225" s="234"/>
      <c r="Q225" s="235"/>
      <c r="R225" s="235"/>
      <c r="S225" s="235"/>
      <c r="T225" s="236"/>
      <c r="U225" s="239"/>
      <c r="V225" s="521"/>
      <c r="W225" s="234" t="s">
        <v>236</v>
      </c>
      <c r="X225" s="235">
        <f t="shared" si="50"/>
        <v>0</v>
      </c>
      <c r="Y225" s="235">
        <f t="shared" si="48"/>
        <v>0</v>
      </c>
      <c r="Z225" s="235">
        <f t="shared" si="44"/>
        <v>0</v>
      </c>
      <c r="AA225" s="247">
        <f t="shared" si="41"/>
        <v>0</v>
      </c>
      <c r="AB225" s="239">
        <f>SUM(Y214:Y225)</f>
        <v>0</v>
      </c>
      <c r="AC225" s="521"/>
      <c r="AD225" s="234" t="s">
        <v>236</v>
      </c>
      <c r="AE225" s="235">
        <f t="shared" si="47"/>
        <v>0</v>
      </c>
      <c r="AF225" s="235">
        <f t="shared" si="49"/>
        <v>0</v>
      </c>
      <c r="AG225" s="235">
        <f t="shared" si="46"/>
        <v>0</v>
      </c>
      <c r="AH225" s="247">
        <f t="shared" si="42"/>
        <v>0</v>
      </c>
      <c r="AI225" s="239">
        <f>SUM(AF214:AF225)</f>
        <v>0</v>
      </c>
      <c r="AJ225" s="208">
        <f>V214</f>
        <v>2038</v>
      </c>
      <c r="AK225" s="240">
        <f>G225+N225+U225+AB225+AI225</f>
        <v>0</v>
      </c>
    </row>
    <row r="226" spans="1:37" x14ac:dyDescent="0.2">
      <c r="A226" s="248"/>
      <c r="B226" s="234"/>
      <c r="C226" s="235"/>
      <c r="D226" s="235"/>
      <c r="E226" s="235"/>
      <c r="F226" s="236"/>
      <c r="G226" s="239"/>
      <c r="H226" s="248"/>
      <c r="I226" s="234"/>
      <c r="J226" s="235"/>
      <c r="K226" s="235"/>
      <c r="L226" s="235"/>
      <c r="M226" s="236"/>
      <c r="N226" s="239"/>
      <c r="O226" s="252"/>
      <c r="P226" s="234"/>
      <c r="Q226" s="235"/>
      <c r="R226" s="235"/>
      <c r="S226" s="235"/>
      <c r="T226" s="236"/>
      <c r="U226" s="239"/>
      <c r="V226" s="519">
        <v>2039</v>
      </c>
      <c r="W226" s="234" t="s">
        <v>225</v>
      </c>
      <c r="X226" s="235">
        <f t="shared" si="50"/>
        <v>0</v>
      </c>
      <c r="Y226" s="235">
        <f t="shared" si="48"/>
        <v>0</v>
      </c>
      <c r="Z226" s="235">
        <f t="shared" si="44"/>
        <v>0</v>
      </c>
      <c r="AA226" s="247">
        <f t="shared" si="41"/>
        <v>0</v>
      </c>
      <c r="AB226" s="237"/>
      <c r="AC226" s="519">
        <v>2039</v>
      </c>
      <c r="AD226" s="234" t="s">
        <v>225</v>
      </c>
      <c r="AE226" s="235">
        <f t="shared" si="47"/>
        <v>0</v>
      </c>
      <c r="AF226" s="235">
        <f t="shared" si="49"/>
        <v>0</v>
      </c>
      <c r="AG226" s="235">
        <f t="shared" si="46"/>
        <v>0</v>
      </c>
      <c r="AH226" s="247">
        <f t="shared" si="42"/>
        <v>0</v>
      </c>
      <c r="AI226" s="237"/>
      <c r="AK226" s="240"/>
    </row>
    <row r="227" spans="1:37" x14ac:dyDescent="0.2">
      <c r="A227" s="248"/>
      <c r="B227" s="234"/>
      <c r="C227" s="235"/>
      <c r="D227" s="235"/>
      <c r="E227" s="235"/>
      <c r="F227" s="236"/>
      <c r="G227" s="239"/>
      <c r="H227" s="248"/>
      <c r="I227" s="234"/>
      <c r="J227" s="235"/>
      <c r="K227" s="235"/>
      <c r="L227" s="235"/>
      <c r="M227" s="236"/>
      <c r="N227" s="239"/>
      <c r="O227" s="252"/>
      <c r="P227" s="234"/>
      <c r="Q227" s="235"/>
      <c r="R227" s="235"/>
      <c r="S227" s="235"/>
      <c r="T227" s="236"/>
      <c r="U227" s="239"/>
      <c r="V227" s="520"/>
      <c r="W227" s="234" t="s">
        <v>226</v>
      </c>
      <c r="X227" s="235">
        <f t="shared" si="50"/>
        <v>0</v>
      </c>
      <c r="Y227" s="235">
        <f t="shared" si="48"/>
        <v>0</v>
      </c>
      <c r="Z227" s="235">
        <f t="shared" si="44"/>
        <v>0</v>
      </c>
      <c r="AA227" s="247">
        <f t="shared" si="41"/>
        <v>0</v>
      </c>
      <c r="AB227" s="238"/>
      <c r="AC227" s="520"/>
      <c r="AD227" s="234" t="s">
        <v>226</v>
      </c>
      <c r="AE227" s="235">
        <f t="shared" si="47"/>
        <v>0</v>
      </c>
      <c r="AF227" s="235">
        <f t="shared" si="49"/>
        <v>0</v>
      </c>
      <c r="AG227" s="235">
        <f t="shared" si="46"/>
        <v>0</v>
      </c>
      <c r="AH227" s="247">
        <f t="shared" si="42"/>
        <v>0</v>
      </c>
      <c r="AI227" s="238"/>
      <c r="AK227" s="240"/>
    </row>
    <row r="228" spans="1:37" x14ac:dyDescent="0.2">
      <c r="A228" s="248"/>
      <c r="B228" s="234"/>
      <c r="C228" s="235"/>
      <c r="D228" s="235"/>
      <c r="E228" s="235"/>
      <c r="F228" s="236"/>
      <c r="G228" s="239"/>
      <c r="H228" s="248"/>
      <c r="I228" s="234"/>
      <c r="J228" s="235"/>
      <c r="K228" s="235"/>
      <c r="L228" s="235"/>
      <c r="M228" s="236"/>
      <c r="N228" s="239"/>
      <c r="O228" s="252"/>
      <c r="P228" s="234"/>
      <c r="Q228" s="235"/>
      <c r="R228" s="235"/>
      <c r="S228" s="235"/>
      <c r="T228" s="236"/>
      <c r="U228" s="239"/>
      <c r="V228" s="520"/>
      <c r="W228" s="234" t="s">
        <v>227</v>
      </c>
      <c r="X228" s="235">
        <f t="shared" si="50"/>
        <v>0</v>
      </c>
      <c r="Y228" s="235">
        <f t="shared" si="48"/>
        <v>0</v>
      </c>
      <c r="Z228" s="235">
        <f t="shared" si="44"/>
        <v>0</v>
      </c>
      <c r="AA228" s="247">
        <f t="shared" ref="AA228:AA285" si="51">Y228+Z228</f>
        <v>0</v>
      </c>
      <c r="AB228" s="238"/>
      <c r="AC228" s="520"/>
      <c r="AD228" s="234" t="s">
        <v>227</v>
      </c>
      <c r="AE228" s="235">
        <f t="shared" si="47"/>
        <v>0</v>
      </c>
      <c r="AF228" s="235">
        <f t="shared" si="49"/>
        <v>0</v>
      </c>
      <c r="AG228" s="235">
        <f t="shared" si="46"/>
        <v>0</v>
      </c>
      <c r="AH228" s="247">
        <f t="shared" ref="AH228:AH291" si="52">AF228+AG228</f>
        <v>0</v>
      </c>
      <c r="AI228" s="238"/>
      <c r="AK228" s="240"/>
    </row>
    <row r="229" spans="1:37" x14ac:dyDescent="0.2">
      <c r="A229" s="248"/>
      <c r="B229" s="234"/>
      <c r="C229" s="235"/>
      <c r="D229" s="235"/>
      <c r="E229" s="235"/>
      <c r="F229" s="236"/>
      <c r="G229" s="239"/>
      <c r="H229" s="248"/>
      <c r="I229" s="234"/>
      <c r="J229" s="235"/>
      <c r="K229" s="235"/>
      <c r="L229" s="235"/>
      <c r="M229" s="236"/>
      <c r="N229" s="239"/>
      <c r="O229" s="252"/>
      <c r="P229" s="234"/>
      <c r="Q229" s="235"/>
      <c r="R229" s="235"/>
      <c r="S229" s="235"/>
      <c r="T229" s="236"/>
      <c r="U229" s="239"/>
      <c r="V229" s="520"/>
      <c r="W229" s="234" t="s">
        <v>228</v>
      </c>
      <c r="X229" s="235">
        <f t="shared" si="50"/>
        <v>0</v>
      </c>
      <c r="Y229" s="235">
        <f t="shared" si="48"/>
        <v>0</v>
      </c>
      <c r="Z229" s="235">
        <f t="shared" si="44"/>
        <v>0</v>
      </c>
      <c r="AA229" s="247">
        <f t="shared" si="51"/>
        <v>0</v>
      </c>
      <c r="AB229" s="238"/>
      <c r="AC229" s="520"/>
      <c r="AD229" s="234" t="s">
        <v>228</v>
      </c>
      <c r="AE229" s="235">
        <f t="shared" si="47"/>
        <v>0</v>
      </c>
      <c r="AF229" s="235">
        <f t="shared" si="49"/>
        <v>0</v>
      </c>
      <c r="AG229" s="235">
        <f t="shared" si="46"/>
        <v>0</v>
      </c>
      <c r="AH229" s="247">
        <f t="shared" si="52"/>
        <v>0</v>
      </c>
      <c r="AI229" s="238"/>
      <c r="AK229" s="240"/>
    </row>
    <row r="230" spans="1:37" x14ac:dyDescent="0.2">
      <c r="A230" s="248"/>
      <c r="B230" s="234"/>
      <c r="C230" s="235"/>
      <c r="D230" s="235"/>
      <c r="E230" s="235"/>
      <c r="F230" s="236"/>
      <c r="G230" s="239"/>
      <c r="H230" s="248"/>
      <c r="I230" s="234"/>
      <c r="J230" s="235"/>
      <c r="K230" s="235"/>
      <c r="L230" s="235"/>
      <c r="M230" s="236"/>
      <c r="N230" s="239"/>
      <c r="O230" s="252"/>
      <c r="P230" s="234"/>
      <c r="Q230" s="235"/>
      <c r="R230" s="235"/>
      <c r="S230" s="235"/>
      <c r="T230" s="236"/>
      <c r="U230" s="239"/>
      <c r="V230" s="520"/>
      <c r="W230" s="234" t="s">
        <v>229</v>
      </c>
      <c r="X230" s="235">
        <f t="shared" si="50"/>
        <v>0</v>
      </c>
      <c r="Y230" s="235">
        <f t="shared" si="48"/>
        <v>0</v>
      </c>
      <c r="Z230" s="235">
        <f t="shared" si="44"/>
        <v>0</v>
      </c>
      <c r="AA230" s="247">
        <f t="shared" si="51"/>
        <v>0</v>
      </c>
      <c r="AB230" s="238"/>
      <c r="AC230" s="520"/>
      <c r="AD230" s="234" t="s">
        <v>229</v>
      </c>
      <c r="AE230" s="235">
        <f t="shared" si="47"/>
        <v>0</v>
      </c>
      <c r="AF230" s="235">
        <f t="shared" si="49"/>
        <v>0</v>
      </c>
      <c r="AG230" s="235">
        <f t="shared" si="46"/>
        <v>0</v>
      </c>
      <c r="AH230" s="247">
        <f t="shared" si="52"/>
        <v>0</v>
      </c>
      <c r="AI230" s="238"/>
      <c r="AK230" s="240"/>
    </row>
    <row r="231" spans="1:37" x14ac:dyDescent="0.2">
      <c r="A231" s="248"/>
      <c r="B231" s="234"/>
      <c r="C231" s="235"/>
      <c r="D231" s="235"/>
      <c r="E231" s="235"/>
      <c r="F231" s="236"/>
      <c r="G231" s="239"/>
      <c r="H231" s="248"/>
      <c r="I231" s="234"/>
      <c r="J231" s="235"/>
      <c r="K231" s="235"/>
      <c r="L231" s="235"/>
      <c r="M231" s="236"/>
      <c r="N231" s="239"/>
      <c r="O231" s="252"/>
      <c r="P231" s="234"/>
      <c r="Q231" s="235"/>
      <c r="R231" s="235"/>
      <c r="S231" s="235"/>
      <c r="T231" s="236"/>
      <c r="U231" s="239"/>
      <c r="V231" s="520"/>
      <c r="W231" s="234" t="s">
        <v>230</v>
      </c>
      <c r="X231" s="235">
        <f t="shared" si="50"/>
        <v>0</v>
      </c>
      <c r="Y231" s="235">
        <f t="shared" si="48"/>
        <v>0</v>
      </c>
      <c r="Z231" s="235">
        <f t="shared" ref="Z231:Z273" si="53">$X$7/120</f>
        <v>0</v>
      </c>
      <c r="AA231" s="247">
        <f t="shared" si="51"/>
        <v>0</v>
      </c>
      <c r="AB231" s="238"/>
      <c r="AC231" s="520"/>
      <c r="AD231" s="234" t="s">
        <v>230</v>
      </c>
      <c r="AE231" s="235">
        <f t="shared" si="47"/>
        <v>0</v>
      </c>
      <c r="AF231" s="235">
        <f t="shared" si="49"/>
        <v>0</v>
      </c>
      <c r="AG231" s="235">
        <f t="shared" si="46"/>
        <v>0</v>
      </c>
      <c r="AH231" s="247">
        <f t="shared" si="52"/>
        <v>0</v>
      </c>
      <c r="AI231" s="238"/>
      <c r="AK231" s="240"/>
    </row>
    <row r="232" spans="1:37" x14ac:dyDescent="0.2">
      <c r="A232" s="248"/>
      <c r="B232" s="234"/>
      <c r="C232" s="235"/>
      <c r="D232" s="235"/>
      <c r="E232" s="235"/>
      <c r="F232" s="236"/>
      <c r="G232" s="239"/>
      <c r="H232" s="248"/>
      <c r="I232" s="234"/>
      <c r="J232" s="235"/>
      <c r="K232" s="235"/>
      <c r="L232" s="235"/>
      <c r="M232" s="236"/>
      <c r="N232" s="239"/>
      <c r="O232" s="252"/>
      <c r="P232" s="234"/>
      <c r="Q232" s="235"/>
      <c r="R232" s="235"/>
      <c r="S232" s="235"/>
      <c r="T232" s="236"/>
      <c r="U232" s="239"/>
      <c r="V232" s="520"/>
      <c r="W232" s="234" t="s">
        <v>231</v>
      </c>
      <c r="X232" s="235">
        <f t="shared" si="50"/>
        <v>0</v>
      </c>
      <c r="Y232" s="235">
        <f t="shared" si="48"/>
        <v>0</v>
      </c>
      <c r="Z232" s="235">
        <f t="shared" si="53"/>
        <v>0</v>
      </c>
      <c r="AA232" s="247">
        <f t="shared" si="51"/>
        <v>0</v>
      </c>
      <c r="AB232" s="238"/>
      <c r="AC232" s="520"/>
      <c r="AD232" s="234" t="s">
        <v>231</v>
      </c>
      <c r="AE232" s="235">
        <f t="shared" si="47"/>
        <v>0</v>
      </c>
      <c r="AF232" s="235">
        <f t="shared" si="49"/>
        <v>0</v>
      </c>
      <c r="AG232" s="235">
        <f t="shared" si="46"/>
        <v>0</v>
      </c>
      <c r="AH232" s="247">
        <f t="shared" si="52"/>
        <v>0</v>
      </c>
      <c r="AI232" s="238"/>
      <c r="AK232" s="240"/>
    </row>
    <row r="233" spans="1:37" x14ac:dyDescent="0.2">
      <c r="A233" s="248"/>
      <c r="B233" s="234"/>
      <c r="C233" s="235"/>
      <c r="D233" s="235"/>
      <c r="E233" s="235"/>
      <c r="F233" s="236"/>
      <c r="G233" s="239"/>
      <c r="H233" s="248"/>
      <c r="I233" s="234"/>
      <c r="J233" s="235"/>
      <c r="K233" s="235"/>
      <c r="L233" s="235"/>
      <c r="M233" s="236"/>
      <c r="N233" s="239"/>
      <c r="O233" s="252"/>
      <c r="P233" s="234"/>
      <c r="Q233" s="235"/>
      <c r="R233" s="235"/>
      <c r="S233" s="235"/>
      <c r="T233" s="236"/>
      <c r="U233" s="239"/>
      <c r="V233" s="520"/>
      <c r="W233" s="234" t="s">
        <v>232</v>
      </c>
      <c r="X233" s="235">
        <f t="shared" si="50"/>
        <v>0</v>
      </c>
      <c r="Y233" s="235">
        <f t="shared" si="48"/>
        <v>0</v>
      </c>
      <c r="Z233" s="235">
        <f t="shared" si="53"/>
        <v>0</v>
      </c>
      <c r="AA233" s="247">
        <f t="shared" si="51"/>
        <v>0</v>
      </c>
      <c r="AB233" s="238"/>
      <c r="AC233" s="520"/>
      <c r="AD233" s="234" t="s">
        <v>232</v>
      </c>
      <c r="AE233" s="235">
        <f t="shared" si="47"/>
        <v>0</v>
      </c>
      <c r="AF233" s="235">
        <f t="shared" si="49"/>
        <v>0</v>
      </c>
      <c r="AG233" s="235">
        <f t="shared" si="46"/>
        <v>0</v>
      </c>
      <c r="AH233" s="247">
        <f t="shared" si="52"/>
        <v>0</v>
      </c>
      <c r="AI233" s="238"/>
      <c r="AK233" s="240"/>
    </row>
    <row r="234" spans="1:37" x14ac:dyDescent="0.2">
      <c r="A234" s="248"/>
      <c r="B234" s="234"/>
      <c r="C234" s="235"/>
      <c r="D234" s="235"/>
      <c r="E234" s="235"/>
      <c r="F234" s="236"/>
      <c r="G234" s="239"/>
      <c r="H234" s="248"/>
      <c r="I234" s="234"/>
      <c r="J234" s="235"/>
      <c r="K234" s="235"/>
      <c r="L234" s="235"/>
      <c r="M234" s="236"/>
      <c r="N234" s="239"/>
      <c r="O234" s="252"/>
      <c r="P234" s="234"/>
      <c r="Q234" s="235"/>
      <c r="R234" s="235"/>
      <c r="S234" s="235"/>
      <c r="T234" s="236"/>
      <c r="U234" s="239"/>
      <c r="V234" s="520"/>
      <c r="W234" s="234" t="s">
        <v>233</v>
      </c>
      <c r="X234" s="235">
        <f t="shared" si="50"/>
        <v>0</v>
      </c>
      <c r="Y234" s="235">
        <f t="shared" si="48"/>
        <v>0</v>
      </c>
      <c r="Z234" s="235">
        <f t="shared" si="53"/>
        <v>0</v>
      </c>
      <c r="AA234" s="247">
        <f t="shared" si="51"/>
        <v>0</v>
      </c>
      <c r="AB234" s="238"/>
      <c r="AC234" s="520"/>
      <c r="AD234" s="234" t="s">
        <v>233</v>
      </c>
      <c r="AE234" s="235">
        <f t="shared" si="47"/>
        <v>0</v>
      </c>
      <c r="AF234" s="235">
        <f t="shared" si="49"/>
        <v>0</v>
      </c>
      <c r="AG234" s="235">
        <f t="shared" si="46"/>
        <v>0</v>
      </c>
      <c r="AH234" s="247">
        <f t="shared" si="52"/>
        <v>0</v>
      </c>
      <c r="AI234" s="238"/>
      <c r="AK234" s="240"/>
    </row>
    <row r="235" spans="1:37" x14ac:dyDescent="0.2">
      <c r="A235" s="248"/>
      <c r="B235" s="234"/>
      <c r="C235" s="235"/>
      <c r="D235" s="235"/>
      <c r="E235" s="235"/>
      <c r="F235" s="236"/>
      <c r="G235" s="239"/>
      <c r="H235" s="248"/>
      <c r="I235" s="234"/>
      <c r="J235" s="235"/>
      <c r="K235" s="235"/>
      <c r="L235" s="235"/>
      <c r="M235" s="236"/>
      <c r="N235" s="239"/>
      <c r="O235" s="252"/>
      <c r="P235" s="234"/>
      <c r="Q235" s="235"/>
      <c r="R235" s="235"/>
      <c r="S235" s="235"/>
      <c r="T235" s="236"/>
      <c r="U235" s="239"/>
      <c r="V235" s="520"/>
      <c r="W235" s="234" t="s">
        <v>234</v>
      </c>
      <c r="X235" s="235">
        <f t="shared" si="50"/>
        <v>0</v>
      </c>
      <c r="Y235" s="235">
        <f t="shared" si="48"/>
        <v>0</v>
      </c>
      <c r="Z235" s="235">
        <f t="shared" si="53"/>
        <v>0</v>
      </c>
      <c r="AA235" s="247">
        <f t="shared" si="51"/>
        <v>0</v>
      </c>
      <c r="AB235" s="238"/>
      <c r="AC235" s="520"/>
      <c r="AD235" s="234" t="s">
        <v>234</v>
      </c>
      <c r="AE235" s="235">
        <f t="shared" si="47"/>
        <v>0</v>
      </c>
      <c r="AF235" s="235">
        <f t="shared" si="49"/>
        <v>0</v>
      </c>
      <c r="AG235" s="235">
        <f t="shared" si="46"/>
        <v>0</v>
      </c>
      <c r="AH235" s="247">
        <f t="shared" si="52"/>
        <v>0</v>
      </c>
      <c r="AI235" s="238"/>
      <c r="AK235" s="240"/>
    </row>
    <row r="236" spans="1:37" x14ac:dyDescent="0.2">
      <c r="A236" s="248"/>
      <c r="B236" s="234"/>
      <c r="C236" s="235"/>
      <c r="D236" s="235"/>
      <c r="E236" s="235"/>
      <c r="F236" s="236"/>
      <c r="G236" s="239"/>
      <c r="H236" s="248"/>
      <c r="I236" s="234"/>
      <c r="J236" s="235"/>
      <c r="K236" s="235"/>
      <c r="L236" s="235"/>
      <c r="M236" s="236"/>
      <c r="N236" s="239"/>
      <c r="O236" s="252"/>
      <c r="P236" s="234"/>
      <c r="Q236" s="235"/>
      <c r="R236" s="235"/>
      <c r="S236" s="235"/>
      <c r="T236" s="236"/>
      <c r="U236" s="239"/>
      <c r="V236" s="520"/>
      <c r="W236" s="234" t="s">
        <v>235</v>
      </c>
      <c r="X236" s="235">
        <f t="shared" si="50"/>
        <v>0</v>
      </c>
      <c r="Y236" s="235">
        <f t="shared" si="48"/>
        <v>0</v>
      </c>
      <c r="Z236" s="235">
        <f t="shared" si="53"/>
        <v>0</v>
      </c>
      <c r="AA236" s="247">
        <f t="shared" si="51"/>
        <v>0</v>
      </c>
      <c r="AB236" s="238"/>
      <c r="AC236" s="520"/>
      <c r="AD236" s="234" t="s">
        <v>235</v>
      </c>
      <c r="AE236" s="235">
        <f t="shared" si="47"/>
        <v>0</v>
      </c>
      <c r="AF236" s="235">
        <f t="shared" si="49"/>
        <v>0</v>
      </c>
      <c r="AG236" s="235">
        <f t="shared" si="46"/>
        <v>0</v>
      </c>
      <c r="AH236" s="247">
        <f t="shared" si="52"/>
        <v>0</v>
      </c>
      <c r="AI236" s="238"/>
      <c r="AK236" s="240"/>
    </row>
    <row r="237" spans="1:37" x14ac:dyDescent="0.2">
      <c r="A237" s="248"/>
      <c r="B237" s="234"/>
      <c r="C237" s="235"/>
      <c r="D237" s="235"/>
      <c r="E237" s="235"/>
      <c r="F237" s="236"/>
      <c r="G237" s="239"/>
      <c r="H237" s="248"/>
      <c r="I237" s="234"/>
      <c r="J237" s="235"/>
      <c r="K237" s="235"/>
      <c r="L237" s="235"/>
      <c r="M237" s="236"/>
      <c r="N237" s="239"/>
      <c r="O237" s="252"/>
      <c r="P237" s="234"/>
      <c r="Q237" s="235"/>
      <c r="R237" s="235"/>
      <c r="S237" s="235"/>
      <c r="T237" s="236"/>
      <c r="U237" s="239"/>
      <c r="V237" s="521"/>
      <c r="W237" s="234" t="s">
        <v>236</v>
      </c>
      <c r="X237" s="235">
        <f t="shared" si="50"/>
        <v>0</v>
      </c>
      <c r="Y237" s="235">
        <f t="shared" si="48"/>
        <v>0</v>
      </c>
      <c r="Z237" s="235">
        <f t="shared" si="53"/>
        <v>0</v>
      </c>
      <c r="AA237" s="247">
        <f t="shared" si="51"/>
        <v>0</v>
      </c>
      <c r="AB237" s="239">
        <f>SUM(Y226:Y237)</f>
        <v>0</v>
      </c>
      <c r="AC237" s="521"/>
      <c r="AD237" s="234" t="s">
        <v>236</v>
      </c>
      <c r="AE237" s="235">
        <f t="shared" si="47"/>
        <v>0</v>
      </c>
      <c r="AF237" s="235">
        <f t="shared" si="49"/>
        <v>0</v>
      </c>
      <c r="AG237" s="235">
        <f t="shared" si="46"/>
        <v>0</v>
      </c>
      <c r="AH237" s="247">
        <f t="shared" si="52"/>
        <v>0</v>
      </c>
      <c r="AI237" s="239">
        <f>SUM(AF226:AF237)</f>
        <v>0</v>
      </c>
      <c r="AJ237" s="208">
        <f>V226</f>
        <v>2039</v>
      </c>
      <c r="AK237" s="240">
        <f>G237+N237+U237+AB237+AI237</f>
        <v>0</v>
      </c>
    </row>
    <row r="238" spans="1:37" x14ac:dyDescent="0.2">
      <c r="A238" s="248"/>
      <c r="B238" s="234"/>
      <c r="C238" s="235"/>
      <c r="D238" s="235"/>
      <c r="E238" s="235"/>
      <c r="F238" s="236"/>
      <c r="G238" s="239"/>
      <c r="H238" s="248"/>
      <c r="I238" s="234"/>
      <c r="J238" s="235"/>
      <c r="K238" s="235"/>
      <c r="L238" s="235"/>
      <c r="M238" s="236"/>
      <c r="N238" s="239"/>
      <c r="O238" s="252"/>
      <c r="P238" s="234"/>
      <c r="Q238" s="235"/>
      <c r="R238" s="235"/>
      <c r="S238" s="235"/>
      <c r="T238" s="236"/>
      <c r="U238" s="239"/>
      <c r="V238" s="519">
        <v>2040</v>
      </c>
      <c r="W238" s="234" t="s">
        <v>225</v>
      </c>
      <c r="X238" s="235">
        <f t="shared" si="50"/>
        <v>0</v>
      </c>
      <c r="Y238" s="235">
        <f t="shared" si="48"/>
        <v>0</v>
      </c>
      <c r="Z238" s="235">
        <f t="shared" si="53"/>
        <v>0</v>
      </c>
      <c r="AA238" s="247">
        <f t="shared" si="51"/>
        <v>0</v>
      </c>
      <c r="AB238" s="237"/>
      <c r="AC238" s="519">
        <v>2040</v>
      </c>
      <c r="AD238" s="234" t="s">
        <v>225</v>
      </c>
      <c r="AE238" s="235">
        <f t="shared" si="47"/>
        <v>0</v>
      </c>
      <c r="AF238" s="235">
        <f t="shared" si="49"/>
        <v>0</v>
      </c>
      <c r="AG238" s="235">
        <f t="shared" si="46"/>
        <v>0</v>
      </c>
      <c r="AH238" s="247">
        <f t="shared" si="52"/>
        <v>0</v>
      </c>
      <c r="AI238" s="237"/>
      <c r="AK238" s="240"/>
    </row>
    <row r="239" spans="1:37" x14ac:dyDescent="0.2">
      <c r="A239" s="248"/>
      <c r="B239" s="234"/>
      <c r="C239" s="235"/>
      <c r="D239" s="235"/>
      <c r="E239" s="235"/>
      <c r="F239" s="236"/>
      <c r="G239" s="239"/>
      <c r="H239" s="248"/>
      <c r="I239" s="234"/>
      <c r="J239" s="235"/>
      <c r="K239" s="235"/>
      <c r="L239" s="235"/>
      <c r="M239" s="236"/>
      <c r="N239" s="239"/>
      <c r="O239" s="252"/>
      <c r="P239" s="234"/>
      <c r="Q239" s="235"/>
      <c r="R239" s="235"/>
      <c r="S239" s="235"/>
      <c r="T239" s="236"/>
      <c r="U239" s="239"/>
      <c r="V239" s="520"/>
      <c r="W239" s="234" t="s">
        <v>226</v>
      </c>
      <c r="X239" s="235">
        <f t="shared" si="50"/>
        <v>0</v>
      </c>
      <c r="Y239" s="235">
        <f t="shared" si="48"/>
        <v>0</v>
      </c>
      <c r="Z239" s="235">
        <f t="shared" si="53"/>
        <v>0</v>
      </c>
      <c r="AA239" s="247">
        <f t="shared" si="51"/>
        <v>0</v>
      </c>
      <c r="AB239" s="238"/>
      <c r="AC239" s="520"/>
      <c r="AD239" s="234" t="s">
        <v>226</v>
      </c>
      <c r="AE239" s="235">
        <f t="shared" si="47"/>
        <v>0</v>
      </c>
      <c r="AF239" s="235">
        <f t="shared" si="49"/>
        <v>0</v>
      </c>
      <c r="AG239" s="235">
        <f t="shared" si="46"/>
        <v>0</v>
      </c>
      <c r="AH239" s="247">
        <f t="shared" si="52"/>
        <v>0</v>
      </c>
      <c r="AI239" s="238"/>
      <c r="AK239" s="240"/>
    </row>
    <row r="240" spans="1:37" x14ac:dyDescent="0.2">
      <c r="A240" s="248"/>
      <c r="B240" s="234"/>
      <c r="C240" s="235"/>
      <c r="D240" s="235"/>
      <c r="E240" s="235"/>
      <c r="F240" s="236"/>
      <c r="G240" s="239"/>
      <c r="H240" s="248"/>
      <c r="I240" s="234"/>
      <c r="J240" s="235"/>
      <c r="K240" s="235"/>
      <c r="L240" s="235"/>
      <c r="M240" s="236"/>
      <c r="N240" s="239"/>
      <c r="O240" s="252"/>
      <c r="P240" s="234"/>
      <c r="Q240" s="235"/>
      <c r="R240" s="235"/>
      <c r="S240" s="235"/>
      <c r="T240" s="236"/>
      <c r="U240" s="239"/>
      <c r="V240" s="520"/>
      <c r="W240" s="234" t="s">
        <v>227</v>
      </c>
      <c r="X240" s="235">
        <f t="shared" si="50"/>
        <v>0</v>
      </c>
      <c r="Y240" s="235">
        <f t="shared" si="48"/>
        <v>0</v>
      </c>
      <c r="Z240" s="235">
        <f t="shared" si="53"/>
        <v>0</v>
      </c>
      <c r="AA240" s="247">
        <f t="shared" si="51"/>
        <v>0</v>
      </c>
      <c r="AB240" s="238"/>
      <c r="AC240" s="520"/>
      <c r="AD240" s="234" t="s">
        <v>227</v>
      </c>
      <c r="AE240" s="235">
        <f t="shared" si="47"/>
        <v>0</v>
      </c>
      <c r="AF240" s="235">
        <f t="shared" si="49"/>
        <v>0</v>
      </c>
      <c r="AG240" s="235">
        <f t="shared" si="46"/>
        <v>0</v>
      </c>
      <c r="AH240" s="247">
        <f t="shared" si="52"/>
        <v>0</v>
      </c>
      <c r="AI240" s="238"/>
      <c r="AK240" s="240"/>
    </row>
    <row r="241" spans="1:37" x14ac:dyDescent="0.2">
      <c r="A241" s="248"/>
      <c r="B241" s="234"/>
      <c r="C241" s="235"/>
      <c r="D241" s="235"/>
      <c r="E241" s="235"/>
      <c r="F241" s="236"/>
      <c r="G241" s="239"/>
      <c r="H241" s="248"/>
      <c r="I241" s="234"/>
      <c r="J241" s="235"/>
      <c r="K241" s="235"/>
      <c r="L241" s="235"/>
      <c r="M241" s="236"/>
      <c r="N241" s="239"/>
      <c r="O241" s="252"/>
      <c r="P241" s="234"/>
      <c r="Q241" s="235"/>
      <c r="R241" s="235"/>
      <c r="S241" s="235"/>
      <c r="T241" s="236"/>
      <c r="U241" s="239"/>
      <c r="V241" s="520"/>
      <c r="W241" s="234" t="s">
        <v>228</v>
      </c>
      <c r="X241" s="235">
        <f t="shared" si="50"/>
        <v>0</v>
      </c>
      <c r="Y241" s="235">
        <f t="shared" si="48"/>
        <v>0</v>
      </c>
      <c r="Z241" s="235">
        <f t="shared" si="53"/>
        <v>0</v>
      </c>
      <c r="AA241" s="247">
        <f t="shared" si="51"/>
        <v>0</v>
      </c>
      <c r="AB241" s="238"/>
      <c r="AC241" s="520"/>
      <c r="AD241" s="234" t="s">
        <v>228</v>
      </c>
      <c r="AE241" s="235">
        <f t="shared" si="47"/>
        <v>0</v>
      </c>
      <c r="AF241" s="235">
        <f t="shared" si="49"/>
        <v>0</v>
      </c>
      <c r="AG241" s="235">
        <f t="shared" si="46"/>
        <v>0</v>
      </c>
      <c r="AH241" s="247">
        <f t="shared" si="52"/>
        <v>0</v>
      </c>
      <c r="AI241" s="238"/>
      <c r="AK241" s="240"/>
    </row>
    <row r="242" spans="1:37" x14ac:dyDescent="0.2">
      <c r="A242" s="248"/>
      <c r="B242" s="234"/>
      <c r="C242" s="235"/>
      <c r="D242" s="235"/>
      <c r="E242" s="235"/>
      <c r="F242" s="236"/>
      <c r="G242" s="239"/>
      <c r="H242" s="248"/>
      <c r="I242" s="234"/>
      <c r="J242" s="235"/>
      <c r="K242" s="235"/>
      <c r="L242" s="235"/>
      <c r="M242" s="236"/>
      <c r="N242" s="239"/>
      <c r="O242" s="252"/>
      <c r="P242" s="234"/>
      <c r="Q242" s="235"/>
      <c r="R242" s="235"/>
      <c r="S242" s="235"/>
      <c r="T242" s="236"/>
      <c r="U242" s="239"/>
      <c r="V242" s="520"/>
      <c r="W242" s="234" t="s">
        <v>229</v>
      </c>
      <c r="X242" s="235">
        <f t="shared" si="50"/>
        <v>0</v>
      </c>
      <c r="Y242" s="235">
        <f t="shared" si="48"/>
        <v>0</v>
      </c>
      <c r="Z242" s="235">
        <f t="shared" si="53"/>
        <v>0</v>
      </c>
      <c r="AA242" s="247">
        <f t="shared" si="51"/>
        <v>0</v>
      </c>
      <c r="AB242" s="238"/>
      <c r="AC242" s="520"/>
      <c r="AD242" s="234" t="s">
        <v>229</v>
      </c>
      <c r="AE242" s="235">
        <f t="shared" si="47"/>
        <v>0</v>
      </c>
      <c r="AF242" s="235">
        <f t="shared" si="49"/>
        <v>0</v>
      </c>
      <c r="AG242" s="235">
        <f t="shared" si="46"/>
        <v>0</v>
      </c>
      <c r="AH242" s="247">
        <f t="shared" si="52"/>
        <v>0</v>
      </c>
      <c r="AI242" s="238"/>
      <c r="AK242" s="240"/>
    </row>
    <row r="243" spans="1:37" x14ac:dyDescent="0.2">
      <c r="A243" s="248"/>
      <c r="B243" s="234"/>
      <c r="C243" s="235"/>
      <c r="D243" s="235"/>
      <c r="E243" s="235"/>
      <c r="F243" s="236"/>
      <c r="G243" s="239"/>
      <c r="H243" s="248"/>
      <c r="I243" s="234"/>
      <c r="J243" s="235"/>
      <c r="K243" s="235"/>
      <c r="L243" s="235"/>
      <c r="M243" s="236"/>
      <c r="N243" s="239"/>
      <c r="O243" s="252"/>
      <c r="P243" s="234"/>
      <c r="Q243" s="235"/>
      <c r="R243" s="235"/>
      <c r="S243" s="235"/>
      <c r="T243" s="236"/>
      <c r="U243" s="239"/>
      <c r="V243" s="520"/>
      <c r="W243" s="234" t="s">
        <v>230</v>
      </c>
      <c r="X243" s="235">
        <f t="shared" si="50"/>
        <v>0</v>
      </c>
      <c r="Y243" s="235">
        <f t="shared" si="48"/>
        <v>0</v>
      </c>
      <c r="Z243" s="235">
        <f t="shared" si="53"/>
        <v>0</v>
      </c>
      <c r="AA243" s="247">
        <f t="shared" si="51"/>
        <v>0</v>
      </c>
      <c r="AB243" s="238"/>
      <c r="AC243" s="520"/>
      <c r="AD243" s="234" t="s">
        <v>230</v>
      </c>
      <c r="AE243" s="235">
        <f t="shared" si="47"/>
        <v>0</v>
      </c>
      <c r="AF243" s="235">
        <f t="shared" si="49"/>
        <v>0</v>
      </c>
      <c r="AG243" s="235">
        <f t="shared" si="46"/>
        <v>0</v>
      </c>
      <c r="AH243" s="247">
        <f t="shared" si="52"/>
        <v>0</v>
      </c>
      <c r="AI243" s="238"/>
      <c r="AK243" s="240"/>
    </row>
    <row r="244" spans="1:37" x14ac:dyDescent="0.2">
      <c r="A244" s="248"/>
      <c r="B244" s="234"/>
      <c r="C244" s="235"/>
      <c r="D244" s="235"/>
      <c r="E244" s="235"/>
      <c r="F244" s="236"/>
      <c r="G244" s="239"/>
      <c r="H244" s="248"/>
      <c r="I244" s="234"/>
      <c r="J244" s="235"/>
      <c r="K244" s="235"/>
      <c r="L244" s="235"/>
      <c r="M244" s="236"/>
      <c r="N244" s="239"/>
      <c r="O244" s="252"/>
      <c r="P244" s="234"/>
      <c r="Q244" s="235"/>
      <c r="R244" s="235"/>
      <c r="S244" s="235"/>
      <c r="T244" s="236"/>
      <c r="U244" s="239"/>
      <c r="V244" s="520"/>
      <c r="W244" s="234" t="s">
        <v>231</v>
      </c>
      <c r="X244" s="235">
        <f t="shared" si="50"/>
        <v>0</v>
      </c>
      <c r="Y244" s="235">
        <f t="shared" si="48"/>
        <v>0</v>
      </c>
      <c r="Z244" s="235">
        <f t="shared" si="53"/>
        <v>0</v>
      </c>
      <c r="AA244" s="247">
        <f t="shared" si="51"/>
        <v>0</v>
      </c>
      <c r="AB244" s="238"/>
      <c r="AC244" s="520"/>
      <c r="AD244" s="234" t="s">
        <v>231</v>
      </c>
      <c r="AE244" s="235">
        <f t="shared" si="47"/>
        <v>0</v>
      </c>
      <c r="AF244" s="235">
        <f t="shared" si="49"/>
        <v>0</v>
      </c>
      <c r="AG244" s="235">
        <f t="shared" si="46"/>
        <v>0</v>
      </c>
      <c r="AH244" s="247">
        <f t="shared" si="52"/>
        <v>0</v>
      </c>
      <c r="AI244" s="238"/>
      <c r="AK244" s="240"/>
    </row>
    <row r="245" spans="1:37" x14ac:dyDescent="0.2">
      <c r="A245" s="248"/>
      <c r="B245" s="234"/>
      <c r="C245" s="235"/>
      <c r="D245" s="235"/>
      <c r="E245" s="235"/>
      <c r="F245" s="236"/>
      <c r="G245" s="239"/>
      <c r="H245" s="248"/>
      <c r="I245" s="234"/>
      <c r="J245" s="235"/>
      <c r="K245" s="235"/>
      <c r="L245" s="235"/>
      <c r="M245" s="236"/>
      <c r="N245" s="239"/>
      <c r="O245" s="252"/>
      <c r="P245" s="234"/>
      <c r="Q245" s="235"/>
      <c r="R245" s="235"/>
      <c r="S245" s="235"/>
      <c r="T245" s="236"/>
      <c r="U245" s="239"/>
      <c r="V245" s="520"/>
      <c r="W245" s="234" t="s">
        <v>232</v>
      </c>
      <c r="X245" s="235">
        <f t="shared" si="50"/>
        <v>0</v>
      </c>
      <c r="Y245" s="235">
        <f t="shared" si="48"/>
        <v>0</v>
      </c>
      <c r="Z245" s="235">
        <f t="shared" si="53"/>
        <v>0</v>
      </c>
      <c r="AA245" s="247">
        <f t="shared" si="51"/>
        <v>0</v>
      </c>
      <c r="AB245" s="238"/>
      <c r="AC245" s="520"/>
      <c r="AD245" s="234" t="s">
        <v>232</v>
      </c>
      <c r="AE245" s="235">
        <f t="shared" si="47"/>
        <v>0</v>
      </c>
      <c r="AF245" s="235">
        <f t="shared" si="49"/>
        <v>0</v>
      </c>
      <c r="AG245" s="235">
        <f t="shared" si="46"/>
        <v>0</v>
      </c>
      <c r="AH245" s="247">
        <f t="shared" si="52"/>
        <v>0</v>
      </c>
      <c r="AI245" s="238"/>
      <c r="AK245" s="240"/>
    </row>
    <row r="246" spans="1:37" x14ac:dyDescent="0.2">
      <c r="A246" s="248"/>
      <c r="B246" s="234"/>
      <c r="C246" s="235"/>
      <c r="D246" s="235"/>
      <c r="E246" s="235"/>
      <c r="F246" s="236"/>
      <c r="G246" s="239"/>
      <c r="H246" s="248"/>
      <c r="I246" s="234"/>
      <c r="J246" s="235"/>
      <c r="K246" s="235"/>
      <c r="L246" s="235"/>
      <c r="M246" s="236"/>
      <c r="N246" s="239"/>
      <c r="O246" s="252"/>
      <c r="P246" s="234"/>
      <c r="Q246" s="235"/>
      <c r="R246" s="235"/>
      <c r="S246" s="235"/>
      <c r="T246" s="236"/>
      <c r="U246" s="239"/>
      <c r="V246" s="520"/>
      <c r="W246" s="234" t="s">
        <v>233</v>
      </c>
      <c r="X246" s="235">
        <f t="shared" si="50"/>
        <v>0</v>
      </c>
      <c r="Y246" s="235">
        <f t="shared" si="48"/>
        <v>0</v>
      </c>
      <c r="Z246" s="235">
        <f t="shared" si="53"/>
        <v>0</v>
      </c>
      <c r="AA246" s="247">
        <f t="shared" si="51"/>
        <v>0</v>
      </c>
      <c r="AB246" s="238"/>
      <c r="AC246" s="520"/>
      <c r="AD246" s="234" t="s">
        <v>233</v>
      </c>
      <c r="AE246" s="235">
        <f t="shared" si="47"/>
        <v>0</v>
      </c>
      <c r="AF246" s="235">
        <f t="shared" si="49"/>
        <v>0</v>
      </c>
      <c r="AG246" s="235">
        <f t="shared" si="46"/>
        <v>0</v>
      </c>
      <c r="AH246" s="247">
        <f t="shared" si="52"/>
        <v>0</v>
      </c>
      <c r="AI246" s="238"/>
      <c r="AK246" s="240"/>
    </row>
    <row r="247" spans="1:37" x14ac:dyDescent="0.2">
      <c r="A247" s="248"/>
      <c r="B247" s="234"/>
      <c r="C247" s="235"/>
      <c r="D247" s="235"/>
      <c r="E247" s="235"/>
      <c r="F247" s="236"/>
      <c r="G247" s="239"/>
      <c r="H247" s="248"/>
      <c r="I247" s="234"/>
      <c r="J247" s="235"/>
      <c r="K247" s="235"/>
      <c r="L247" s="235"/>
      <c r="M247" s="236"/>
      <c r="N247" s="239"/>
      <c r="O247" s="252"/>
      <c r="P247" s="234"/>
      <c r="Q247" s="235"/>
      <c r="R247" s="235"/>
      <c r="S247" s="235"/>
      <c r="T247" s="236"/>
      <c r="U247" s="239"/>
      <c r="V247" s="520"/>
      <c r="W247" s="234" t="s">
        <v>234</v>
      </c>
      <c r="X247" s="235">
        <f t="shared" si="50"/>
        <v>0</v>
      </c>
      <c r="Y247" s="235">
        <f t="shared" si="48"/>
        <v>0</v>
      </c>
      <c r="Z247" s="235">
        <f t="shared" si="53"/>
        <v>0</v>
      </c>
      <c r="AA247" s="247">
        <f t="shared" si="51"/>
        <v>0</v>
      </c>
      <c r="AB247" s="238"/>
      <c r="AC247" s="520"/>
      <c r="AD247" s="234" t="s">
        <v>234</v>
      </c>
      <c r="AE247" s="235">
        <f t="shared" si="47"/>
        <v>0</v>
      </c>
      <c r="AF247" s="235">
        <f t="shared" si="49"/>
        <v>0</v>
      </c>
      <c r="AG247" s="235">
        <f t="shared" si="46"/>
        <v>0</v>
      </c>
      <c r="AH247" s="247">
        <f t="shared" si="52"/>
        <v>0</v>
      </c>
      <c r="AI247" s="238"/>
      <c r="AK247" s="240"/>
    </row>
    <row r="248" spans="1:37" x14ac:dyDescent="0.2">
      <c r="A248" s="248"/>
      <c r="B248" s="234"/>
      <c r="C248" s="235"/>
      <c r="D248" s="235"/>
      <c r="E248" s="235"/>
      <c r="F248" s="236"/>
      <c r="G248" s="239"/>
      <c r="H248" s="248"/>
      <c r="I248" s="234"/>
      <c r="J248" s="235"/>
      <c r="K248" s="235"/>
      <c r="L248" s="235"/>
      <c r="M248" s="236"/>
      <c r="N248" s="239"/>
      <c r="O248" s="252"/>
      <c r="P248" s="234"/>
      <c r="Q248" s="235"/>
      <c r="R248" s="235"/>
      <c r="S248" s="235"/>
      <c r="T248" s="236"/>
      <c r="U248" s="239"/>
      <c r="V248" s="520"/>
      <c r="W248" s="234" t="s">
        <v>235</v>
      </c>
      <c r="X248" s="235">
        <f t="shared" si="50"/>
        <v>0</v>
      </c>
      <c r="Y248" s="235">
        <f t="shared" si="48"/>
        <v>0</v>
      </c>
      <c r="Z248" s="235">
        <f t="shared" si="53"/>
        <v>0</v>
      </c>
      <c r="AA248" s="247">
        <f t="shared" si="51"/>
        <v>0</v>
      </c>
      <c r="AB248" s="238"/>
      <c r="AC248" s="520"/>
      <c r="AD248" s="234" t="s">
        <v>235</v>
      </c>
      <c r="AE248" s="235">
        <f t="shared" si="47"/>
        <v>0</v>
      </c>
      <c r="AF248" s="235">
        <f t="shared" si="49"/>
        <v>0</v>
      </c>
      <c r="AG248" s="235">
        <f t="shared" si="46"/>
        <v>0</v>
      </c>
      <c r="AH248" s="247">
        <f t="shared" si="52"/>
        <v>0</v>
      </c>
      <c r="AI248" s="238"/>
      <c r="AK248" s="240"/>
    </row>
    <row r="249" spans="1:37" x14ac:dyDescent="0.2">
      <c r="A249" s="248"/>
      <c r="B249" s="234"/>
      <c r="C249" s="235"/>
      <c r="D249" s="235"/>
      <c r="E249" s="235"/>
      <c r="F249" s="236"/>
      <c r="G249" s="239"/>
      <c r="H249" s="248"/>
      <c r="I249" s="234"/>
      <c r="J249" s="235"/>
      <c r="K249" s="235"/>
      <c r="L249" s="235"/>
      <c r="M249" s="236"/>
      <c r="N249" s="239"/>
      <c r="O249" s="252"/>
      <c r="P249" s="234"/>
      <c r="Q249" s="235"/>
      <c r="R249" s="235"/>
      <c r="S249" s="235"/>
      <c r="T249" s="236"/>
      <c r="U249" s="239"/>
      <c r="V249" s="521"/>
      <c r="W249" s="234" t="s">
        <v>236</v>
      </c>
      <c r="X249" s="235">
        <f t="shared" si="50"/>
        <v>0</v>
      </c>
      <c r="Y249" s="235">
        <f t="shared" si="48"/>
        <v>0</v>
      </c>
      <c r="Z249" s="235">
        <f t="shared" si="53"/>
        <v>0</v>
      </c>
      <c r="AA249" s="247">
        <f t="shared" si="51"/>
        <v>0</v>
      </c>
      <c r="AB249" s="239">
        <f>SUM(Y238:Y249)</f>
        <v>0</v>
      </c>
      <c r="AC249" s="521"/>
      <c r="AD249" s="234" t="s">
        <v>236</v>
      </c>
      <c r="AE249" s="235">
        <f t="shared" si="47"/>
        <v>0</v>
      </c>
      <c r="AF249" s="235">
        <f t="shared" si="49"/>
        <v>0</v>
      </c>
      <c r="AG249" s="235">
        <f t="shared" si="46"/>
        <v>0</v>
      </c>
      <c r="AH249" s="247">
        <f t="shared" si="52"/>
        <v>0</v>
      </c>
      <c r="AI249" s="239">
        <f>SUM(AF238:AF249)</f>
        <v>0</v>
      </c>
      <c r="AJ249" s="208">
        <f>V238</f>
        <v>2040</v>
      </c>
      <c r="AK249" s="240">
        <f>G249+N249+U249+AB249+AI249</f>
        <v>0</v>
      </c>
    </row>
    <row r="250" spans="1:37" x14ac:dyDescent="0.2">
      <c r="A250" s="248"/>
      <c r="B250" s="234"/>
      <c r="C250" s="235"/>
      <c r="D250" s="235"/>
      <c r="E250" s="235"/>
      <c r="F250" s="236"/>
      <c r="G250" s="239"/>
      <c r="H250" s="248"/>
      <c r="I250" s="234"/>
      <c r="J250" s="235"/>
      <c r="K250" s="235"/>
      <c r="L250" s="235"/>
      <c r="M250" s="236"/>
      <c r="N250" s="239"/>
      <c r="O250" s="252"/>
      <c r="P250" s="234"/>
      <c r="Q250" s="235"/>
      <c r="R250" s="235"/>
      <c r="S250" s="235"/>
      <c r="T250" s="236"/>
      <c r="U250" s="239"/>
      <c r="V250" s="519">
        <v>2041</v>
      </c>
      <c r="W250" s="234" t="s">
        <v>225</v>
      </c>
      <c r="X250" s="235">
        <f t="shared" si="50"/>
        <v>0</v>
      </c>
      <c r="Y250" s="235">
        <f t="shared" si="48"/>
        <v>0</v>
      </c>
      <c r="Z250" s="235">
        <f t="shared" si="53"/>
        <v>0</v>
      </c>
      <c r="AA250" s="247">
        <f t="shared" si="51"/>
        <v>0</v>
      </c>
      <c r="AB250" s="237"/>
      <c r="AC250" s="519">
        <v>2041</v>
      </c>
      <c r="AD250" s="234" t="s">
        <v>225</v>
      </c>
      <c r="AE250" s="235">
        <f t="shared" si="47"/>
        <v>0</v>
      </c>
      <c r="AF250" s="235">
        <f t="shared" si="49"/>
        <v>0</v>
      </c>
      <c r="AG250" s="235">
        <f t="shared" si="46"/>
        <v>0</v>
      </c>
      <c r="AH250" s="247">
        <f t="shared" si="52"/>
        <v>0</v>
      </c>
      <c r="AI250" s="237"/>
      <c r="AK250" s="240"/>
    </row>
    <row r="251" spans="1:37" x14ac:dyDescent="0.2">
      <c r="A251" s="248"/>
      <c r="B251" s="234"/>
      <c r="C251" s="235"/>
      <c r="D251" s="235"/>
      <c r="E251" s="235"/>
      <c r="F251" s="236"/>
      <c r="G251" s="239"/>
      <c r="H251" s="248"/>
      <c r="I251" s="234"/>
      <c r="J251" s="235"/>
      <c r="K251" s="235"/>
      <c r="L251" s="235"/>
      <c r="M251" s="236"/>
      <c r="N251" s="239"/>
      <c r="O251" s="252"/>
      <c r="P251" s="234"/>
      <c r="Q251" s="235"/>
      <c r="R251" s="235"/>
      <c r="S251" s="235"/>
      <c r="T251" s="236"/>
      <c r="U251" s="239"/>
      <c r="V251" s="520"/>
      <c r="W251" s="234" t="s">
        <v>226</v>
      </c>
      <c r="X251" s="235">
        <f t="shared" si="50"/>
        <v>0</v>
      </c>
      <c r="Y251" s="235">
        <f t="shared" si="48"/>
        <v>0</v>
      </c>
      <c r="Z251" s="235">
        <f t="shared" si="53"/>
        <v>0</v>
      </c>
      <c r="AA251" s="247">
        <f t="shared" si="51"/>
        <v>0</v>
      </c>
      <c r="AB251" s="238"/>
      <c r="AC251" s="520"/>
      <c r="AD251" s="234" t="s">
        <v>226</v>
      </c>
      <c r="AE251" s="235">
        <f t="shared" si="47"/>
        <v>0</v>
      </c>
      <c r="AF251" s="235">
        <f t="shared" si="49"/>
        <v>0</v>
      </c>
      <c r="AG251" s="235">
        <f t="shared" si="46"/>
        <v>0</v>
      </c>
      <c r="AH251" s="247">
        <f t="shared" si="52"/>
        <v>0</v>
      </c>
      <c r="AI251" s="238"/>
      <c r="AK251" s="240"/>
    </row>
    <row r="252" spans="1:37" x14ac:dyDescent="0.2">
      <c r="A252" s="248"/>
      <c r="B252" s="234"/>
      <c r="C252" s="235"/>
      <c r="D252" s="235"/>
      <c r="E252" s="235"/>
      <c r="F252" s="236"/>
      <c r="G252" s="239"/>
      <c r="H252" s="248"/>
      <c r="I252" s="234"/>
      <c r="J252" s="235"/>
      <c r="K252" s="235"/>
      <c r="L252" s="235"/>
      <c r="M252" s="236"/>
      <c r="N252" s="239"/>
      <c r="O252" s="252"/>
      <c r="P252" s="234"/>
      <c r="Q252" s="235"/>
      <c r="R252" s="235"/>
      <c r="S252" s="235"/>
      <c r="T252" s="236"/>
      <c r="U252" s="239"/>
      <c r="V252" s="520"/>
      <c r="W252" s="234" t="s">
        <v>227</v>
      </c>
      <c r="X252" s="235">
        <f t="shared" si="50"/>
        <v>0</v>
      </c>
      <c r="Y252" s="235">
        <f t="shared" si="48"/>
        <v>0</v>
      </c>
      <c r="Z252" s="235">
        <f t="shared" si="53"/>
        <v>0</v>
      </c>
      <c r="AA252" s="247">
        <f t="shared" si="51"/>
        <v>0</v>
      </c>
      <c r="AB252" s="238"/>
      <c r="AC252" s="520"/>
      <c r="AD252" s="234" t="s">
        <v>227</v>
      </c>
      <c r="AE252" s="235">
        <f t="shared" si="47"/>
        <v>0</v>
      </c>
      <c r="AF252" s="235">
        <f t="shared" si="49"/>
        <v>0</v>
      </c>
      <c r="AG252" s="235">
        <f t="shared" si="46"/>
        <v>0</v>
      </c>
      <c r="AH252" s="247">
        <f t="shared" si="52"/>
        <v>0</v>
      </c>
      <c r="AI252" s="238"/>
      <c r="AK252" s="240"/>
    </row>
    <row r="253" spans="1:37" x14ac:dyDescent="0.2">
      <c r="A253" s="248"/>
      <c r="B253" s="234"/>
      <c r="C253" s="235"/>
      <c r="D253" s="235"/>
      <c r="E253" s="235"/>
      <c r="F253" s="236"/>
      <c r="G253" s="239"/>
      <c r="H253" s="248"/>
      <c r="I253" s="234"/>
      <c r="J253" s="235"/>
      <c r="K253" s="235"/>
      <c r="L253" s="235"/>
      <c r="M253" s="236"/>
      <c r="N253" s="239"/>
      <c r="O253" s="252"/>
      <c r="P253" s="234"/>
      <c r="Q253" s="235"/>
      <c r="R253" s="235"/>
      <c r="S253" s="235"/>
      <c r="T253" s="236"/>
      <c r="U253" s="239"/>
      <c r="V253" s="520"/>
      <c r="W253" s="234" t="s">
        <v>228</v>
      </c>
      <c r="X253" s="235">
        <f t="shared" si="50"/>
        <v>0</v>
      </c>
      <c r="Y253" s="235">
        <f t="shared" si="48"/>
        <v>0</v>
      </c>
      <c r="Z253" s="235">
        <f t="shared" si="53"/>
        <v>0</v>
      </c>
      <c r="AA253" s="247">
        <f t="shared" si="51"/>
        <v>0</v>
      </c>
      <c r="AB253" s="238"/>
      <c r="AC253" s="520"/>
      <c r="AD253" s="234" t="s">
        <v>228</v>
      </c>
      <c r="AE253" s="235">
        <f t="shared" si="47"/>
        <v>0</v>
      </c>
      <c r="AF253" s="235">
        <f t="shared" si="49"/>
        <v>0</v>
      </c>
      <c r="AG253" s="235">
        <f t="shared" si="46"/>
        <v>0</v>
      </c>
      <c r="AH253" s="247">
        <f t="shared" si="52"/>
        <v>0</v>
      </c>
      <c r="AI253" s="238"/>
      <c r="AK253" s="240"/>
    </row>
    <row r="254" spans="1:37" x14ac:dyDescent="0.2">
      <c r="A254" s="248"/>
      <c r="B254" s="234"/>
      <c r="C254" s="235"/>
      <c r="D254" s="235"/>
      <c r="E254" s="235"/>
      <c r="F254" s="236"/>
      <c r="G254" s="239"/>
      <c r="H254" s="248"/>
      <c r="I254" s="234"/>
      <c r="J254" s="235"/>
      <c r="K254" s="235"/>
      <c r="L254" s="235"/>
      <c r="M254" s="236"/>
      <c r="N254" s="239"/>
      <c r="O254" s="252"/>
      <c r="P254" s="234"/>
      <c r="Q254" s="235"/>
      <c r="R254" s="235"/>
      <c r="S254" s="235"/>
      <c r="T254" s="236"/>
      <c r="U254" s="239"/>
      <c r="V254" s="520"/>
      <c r="W254" s="234" t="s">
        <v>229</v>
      </c>
      <c r="X254" s="235">
        <f t="shared" si="50"/>
        <v>0</v>
      </c>
      <c r="Y254" s="235">
        <f t="shared" si="48"/>
        <v>0</v>
      </c>
      <c r="Z254" s="235">
        <f t="shared" si="53"/>
        <v>0</v>
      </c>
      <c r="AA254" s="247">
        <f t="shared" si="51"/>
        <v>0</v>
      </c>
      <c r="AB254" s="238"/>
      <c r="AC254" s="520"/>
      <c r="AD254" s="234" t="s">
        <v>229</v>
      </c>
      <c r="AE254" s="235">
        <f t="shared" si="47"/>
        <v>0</v>
      </c>
      <c r="AF254" s="235">
        <f t="shared" si="49"/>
        <v>0</v>
      </c>
      <c r="AG254" s="235">
        <f t="shared" si="46"/>
        <v>0</v>
      </c>
      <c r="AH254" s="247">
        <f t="shared" si="52"/>
        <v>0</v>
      </c>
      <c r="AI254" s="238"/>
      <c r="AK254" s="240"/>
    </row>
    <row r="255" spans="1:37" x14ac:dyDescent="0.2">
      <c r="A255" s="248"/>
      <c r="B255" s="234"/>
      <c r="C255" s="235"/>
      <c r="D255" s="235"/>
      <c r="E255" s="235"/>
      <c r="F255" s="236"/>
      <c r="G255" s="239"/>
      <c r="H255" s="248"/>
      <c r="I255" s="234"/>
      <c r="J255" s="235"/>
      <c r="K255" s="235"/>
      <c r="L255" s="235"/>
      <c r="M255" s="236"/>
      <c r="N255" s="239"/>
      <c r="O255" s="252"/>
      <c r="P255" s="234"/>
      <c r="Q255" s="235"/>
      <c r="R255" s="235"/>
      <c r="S255" s="235"/>
      <c r="T255" s="236"/>
      <c r="U255" s="239"/>
      <c r="V255" s="520"/>
      <c r="W255" s="234" t="s">
        <v>230</v>
      </c>
      <c r="X255" s="235">
        <f t="shared" si="50"/>
        <v>0</v>
      </c>
      <c r="Y255" s="235">
        <f t="shared" si="48"/>
        <v>0</v>
      </c>
      <c r="Z255" s="235">
        <f t="shared" si="53"/>
        <v>0</v>
      </c>
      <c r="AA255" s="247">
        <f t="shared" si="51"/>
        <v>0</v>
      </c>
      <c r="AB255" s="238"/>
      <c r="AC255" s="520"/>
      <c r="AD255" s="234" t="s">
        <v>230</v>
      </c>
      <c r="AE255" s="235">
        <f t="shared" si="47"/>
        <v>0</v>
      </c>
      <c r="AF255" s="235">
        <f t="shared" si="49"/>
        <v>0</v>
      </c>
      <c r="AG255" s="235">
        <f t="shared" si="46"/>
        <v>0</v>
      </c>
      <c r="AH255" s="247">
        <f t="shared" si="52"/>
        <v>0</v>
      </c>
      <c r="AI255" s="238"/>
      <c r="AK255" s="240"/>
    </row>
    <row r="256" spans="1:37" x14ac:dyDescent="0.2">
      <c r="A256" s="248"/>
      <c r="B256" s="234"/>
      <c r="C256" s="235"/>
      <c r="D256" s="235"/>
      <c r="E256" s="235"/>
      <c r="F256" s="236"/>
      <c r="G256" s="239"/>
      <c r="H256" s="248"/>
      <c r="I256" s="234"/>
      <c r="J256" s="235"/>
      <c r="K256" s="235"/>
      <c r="L256" s="235"/>
      <c r="M256" s="236"/>
      <c r="N256" s="239"/>
      <c r="O256" s="252"/>
      <c r="P256" s="234"/>
      <c r="Q256" s="235"/>
      <c r="R256" s="235"/>
      <c r="S256" s="235"/>
      <c r="T256" s="236"/>
      <c r="U256" s="239"/>
      <c r="V256" s="520"/>
      <c r="W256" s="234" t="s">
        <v>231</v>
      </c>
      <c r="X256" s="235">
        <f t="shared" si="50"/>
        <v>0</v>
      </c>
      <c r="Y256" s="235">
        <f t="shared" si="48"/>
        <v>0</v>
      </c>
      <c r="Z256" s="235">
        <f t="shared" si="53"/>
        <v>0</v>
      </c>
      <c r="AA256" s="247">
        <f t="shared" si="51"/>
        <v>0</v>
      </c>
      <c r="AB256" s="238"/>
      <c r="AC256" s="520"/>
      <c r="AD256" s="234" t="s">
        <v>231</v>
      </c>
      <c r="AE256" s="235">
        <f t="shared" si="47"/>
        <v>0</v>
      </c>
      <c r="AF256" s="235">
        <f t="shared" si="49"/>
        <v>0</v>
      </c>
      <c r="AG256" s="235">
        <f t="shared" ref="AG256:AG309" si="54">AE$7/AF$8</f>
        <v>0</v>
      </c>
      <c r="AH256" s="247">
        <f t="shared" si="52"/>
        <v>0</v>
      </c>
      <c r="AI256" s="238"/>
      <c r="AK256" s="240"/>
    </row>
    <row r="257" spans="1:37" x14ac:dyDescent="0.2">
      <c r="A257" s="248"/>
      <c r="B257" s="234"/>
      <c r="C257" s="235"/>
      <c r="D257" s="235"/>
      <c r="E257" s="235"/>
      <c r="F257" s="236"/>
      <c r="G257" s="239"/>
      <c r="H257" s="248"/>
      <c r="I257" s="234"/>
      <c r="J257" s="235"/>
      <c r="K257" s="235"/>
      <c r="L257" s="235"/>
      <c r="M257" s="236"/>
      <c r="N257" s="239"/>
      <c r="O257" s="252"/>
      <c r="P257" s="234"/>
      <c r="Q257" s="235"/>
      <c r="R257" s="235"/>
      <c r="S257" s="235"/>
      <c r="T257" s="236"/>
      <c r="U257" s="239"/>
      <c r="V257" s="520"/>
      <c r="W257" s="234" t="s">
        <v>232</v>
      </c>
      <c r="X257" s="235">
        <f t="shared" si="50"/>
        <v>0</v>
      </c>
      <c r="Y257" s="235">
        <f t="shared" si="48"/>
        <v>0</v>
      </c>
      <c r="Z257" s="235">
        <f t="shared" si="53"/>
        <v>0</v>
      </c>
      <c r="AA257" s="247">
        <f t="shared" si="51"/>
        <v>0</v>
      </c>
      <c r="AB257" s="238"/>
      <c r="AC257" s="520"/>
      <c r="AD257" s="234" t="s">
        <v>232</v>
      </c>
      <c r="AE257" s="235">
        <f t="shared" si="47"/>
        <v>0</v>
      </c>
      <c r="AF257" s="235">
        <f t="shared" si="49"/>
        <v>0</v>
      </c>
      <c r="AG257" s="235">
        <f t="shared" si="54"/>
        <v>0</v>
      </c>
      <c r="AH257" s="247">
        <f t="shared" si="52"/>
        <v>0</v>
      </c>
      <c r="AI257" s="238"/>
      <c r="AK257" s="240"/>
    </row>
    <row r="258" spans="1:37" x14ac:dyDescent="0.2">
      <c r="A258" s="248"/>
      <c r="B258" s="234"/>
      <c r="C258" s="235"/>
      <c r="D258" s="235"/>
      <c r="E258" s="235"/>
      <c r="F258" s="236"/>
      <c r="G258" s="239"/>
      <c r="H258" s="248"/>
      <c r="I258" s="234"/>
      <c r="J258" s="235"/>
      <c r="K258" s="235"/>
      <c r="L258" s="235"/>
      <c r="M258" s="236"/>
      <c r="N258" s="239"/>
      <c r="O258" s="252"/>
      <c r="P258" s="234"/>
      <c r="Q258" s="235"/>
      <c r="R258" s="235"/>
      <c r="S258" s="235"/>
      <c r="T258" s="236"/>
      <c r="U258" s="239"/>
      <c r="V258" s="520"/>
      <c r="W258" s="234" t="s">
        <v>233</v>
      </c>
      <c r="X258" s="235">
        <f t="shared" si="50"/>
        <v>0</v>
      </c>
      <c r="Y258" s="235">
        <f t="shared" si="48"/>
        <v>0</v>
      </c>
      <c r="Z258" s="235">
        <f t="shared" si="53"/>
        <v>0</v>
      </c>
      <c r="AA258" s="247">
        <f t="shared" si="51"/>
        <v>0</v>
      </c>
      <c r="AB258" s="238"/>
      <c r="AC258" s="520"/>
      <c r="AD258" s="234" t="s">
        <v>233</v>
      </c>
      <c r="AE258" s="235">
        <f t="shared" si="47"/>
        <v>0</v>
      </c>
      <c r="AF258" s="235">
        <f t="shared" si="49"/>
        <v>0</v>
      </c>
      <c r="AG258" s="235">
        <f t="shared" si="54"/>
        <v>0</v>
      </c>
      <c r="AH258" s="247">
        <f t="shared" si="52"/>
        <v>0</v>
      </c>
      <c r="AI258" s="238"/>
      <c r="AK258" s="240"/>
    </row>
    <row r="259" spans="1:37" x14ac:dyDescent="0.2">
      <c r="A259" s="248"/>
      <c r="B259" s="234"/>
      <c r="C259" s="235"/>
      <c r="D259" s="235"/>
      <c r="E259" s="235"/>
      <c r="F259" s="236"/>
      <c r="G259" s="239"/>
      <c r="H259" s="248"/>
      <c r="I259" s="234"/>
      <c r="J259" s="235"/>
      <c r="K259" s="235"/>
      <c r="L259" s="235"/>
      <c r="M259" s="236"/>
      <c r="N259" s="239"/>
      <c r="O259" s="252"/>
      <c r="P259" s="234"/>
      <c r="Q259" s="235"/>
      <c r="R259" s="235"/>
      <c r="S259" s="235"/>
      <c r="T259" s="236"/>
      <c r="U259" s="239"/>
      <c r="V259" s="520"/>
      <c r="W259" s="234" t="s">
        <v>234</v>
      </c>
      <c r="X259" s="235">
        <f t="shared" si="50"/>
        <v>0</v>
      </c>
      <c r="Y259" s="235">
        <f t="shared" si="48"/>
        <v>0</v>
      </c>
      <c r="Z259" s="235">
        <f t="shared" si="53"/>
        <v>0</v>
      </c>
      <c r="AA259" s="247">
        <f t="shared" si="51"/>
        <v>0</v>
      </c>
      <c r="AB259" s="238"/>
      <c r="AC259" s="520"/>
      <c r="AD259" s="234" t="s">
        <v>234</v>
      </c>
      <c r="AE259" s="235">
        <f t="shared" si="47"/>
        <v>0</v>
      </c>
      <c r="AF259" s="235">
        <f t="shared" si="49"/>
        <v>0</v>
      </c>
      <c r="AG259" s="235">
        <f t="shared" si="54"/>
        <v>0</v>
      </c>
      <c r="AH259" s="247">
        <f t="shared" si="52"/>
        <v>0</v>
      </c>
      <c r="AI259" s="238"/>
      <c r="AK259" s="240"/>
    </row>
    <row r="260" spans="1:37" x14ac:dyDescent="0.2">
      <c r="A260" s="248"/>
      <c r="B260" s="234"/>
      <c r="C260" s="235"/>
      <c r="D260" s="235"/>
      <c r="E260" s="235"/>
      <c r="F260" s="236"/>
      <c r="G260" s="239"/>
      <c r="H260" s="248"/>
      <c r="I260" s="234"/>
      <c r="J260" s="235"/>
      <c r="K260" s="235"/>
      <c r="L260" s="235"/>
      <c r="M260" s="236"/>
      <c r="N260" s="239"/>
      <c r="O260" s="252"/>
      <c r="P260" s="234"/>
      <c r="Q260" s="235"/>
      <c r="R260" s="235"/>
      <c r="S260" s="235"/>
      <c r="T260" s="236"/>
      <c r="U260" s="239"/>
      <c r="V260" s="520"/>
      <c r="W260" s="234" t="s">
        <v>235</v>
      </c>
      <c r="X260" s="235">
        <f t="shared" si="50"/>
        <v>0</v>
      </c>
      <c r="Y260" s="235">
        <f t="shared" si="48"/>
        <v>0</v>
      </c>
      <c r="Z260" s="235">
        <f t="shared" si="53"/>
        <v>0</v>
      </c>
      <c r="AA260" s="247">
        <f t="shared" si="51"/>
        <v>0</v>
      </c>
      <c r="AB260" s="238"/>
      <c r="AC260" s="520"/>
      <c r="AD260" s="234" t="s">
        <v>235</v>
      </c>
      <c r="AE260" s="235">
        <f t="shared" si="47"/>
        <v>0</v>
      </c>
      <c r="AF260" s="235">
        <f t="shared" si="49"/>
        <v>0</v>
      </c>
      <c r="AG260" s="235">
        <f t="shared" si="54"/>
        <v>0</v>
      </c>
      <c r="AH260" s="247">
        <f t="shared" si="52"/>
        <v>0</v>
      </c>
      <c r="AI260" s="238"/>
      <c r="AK260" s="240"/>
    </row>
    <row r="261" spans="1:37" x14ac:dyDescent="0.2">
      <c r="A261" s="248"/>
      <c r="B261" s="234"/>
      <c r="C261" s="235"/>
      <c r="D261" s="235"/>
      <c r="E261" s="235"/>
      <c r="F261" s="236"/>
      <c r="G261" s="239"/>
      <c r="H261" s="248"/>
      <c r="I261" s="234"/>
      <c r="J261" s="235"/>
      <c r="K261" s="235"/>
      <c r="L261" s="235"/>
      <c r="M261" s="236"/>
      <c r="N261" s="239"/>
      <c r="O261" s="252"/>
      <c r="P261" s="234"/>
      <c r="Q261" s="235"/>
      <c r="R261" s="235"/>
      <c r="S261" s="235"/>
      <c r="T261" s="236"/>
      <c r="U261" s="239"/>
      <c r="V261" s="521"/>
      <c r="W261" s="234" t="s">
        <v>236</v>
      </c>
      <c r="X261" s="235">
        <f t="shared" si="50"/>
        <v>0</v>
      </c>
      <c r="Y261" s="235">
        <f t="shared" si="48"/>
        <v>0</v>
      </c>
      <c r="Z261" s="235">
        <f t="shared" si="53"/>
        <v>0</v>
      </c>
      <c r="AA261" s="247">
        <f t="shared" si="51"/>
        <v>0</v>
      </c>
      <c r="AB261" s="239">
        <f>SUM(Y250:Y261)</f>
        <v>0</v>
      </c>
      <c r="AC261" s="521"/>
      <c r="AD261" s="234" t="s">
        <v>236</v>
      </c>
      <c r="AE261" s="235">
        <f t="shared" si="47"/>
        <v>0</v>
      </c>
      <c r="AF261" s="235">
        <f t="shared" si="49"/>
        <v>0</v>
      </c>
      <c r="AG261" s="235">
        <f t="shared" si="54"/>
        <v>0</v>
      </c>
      <c r="AH261" s="247">
        <f t="shared" si="52"/>
        <v>0</v>
      </c>
      <c r="AI261" s="239">
        <f>SUM(AF250:AF261)</f>
        <v>0</v>
      </c>
      <c r="AJ261" s="208">
        <f>V250</f>
        <v>2041</v>
      </c>
      <c r="AK261" s="240">
        <f>G261+N261+U261+AB261+AI261</f>
        <v>0</v>
      </c>
    </row>
    <row r="262" spans="1:37" x14ac:dyDescent="0.2">
      <c r="A262" s="248"/>
      <c r="B262" s="234"/>
      <c r="C262" s="235"/>
      <c r="D262" s="235"/>
      <c r="E262" s="235"/>
      <c r="F262" s="236"/>
      <c r="G262" s="239"/>
      <c r="H262" s="248"/>
      <c r="I262" s="234"/>
      <c r="J262" s="235"/>
      <c r="K262" s="235"/>
      <c r="L262" s="235"/>
      <c r="M262" s="236"/>
      <c r="N262" s="239"/>
      <c r="O262" s="252"/>
      <c r="P262" s="234"/>
      <c r="Q262" s="235"/>
      <c r="R262" s="235"/>
      <c r="S262" s="235"/>
      <c r="T262" s="236"/>
      <c r="U262" s="239"/>
      <c r="V262" s="519">
        <v>2042</v>
      </c>
      <c r="W262" s="234" t="s">
        <v>225</v>
      </c>
      <c r="X262" s="235">
        <f t="shared" si="50"/>
        <v>0</v>
      </c>
      <c r="Y262" s="235">
        <f t="shared" si="48"/>
        <v>0</v>
      </c>
      <c r="Z262" s="235">
        <f t="shared" si="53"/>
        <v>0</v>
      </c>
      <c r="AA262" s="247">
        <f t="shared" si="51"/>
        <v>0</v>
      </c>
      <c r="AB262" s="237"/>
      <c r="AC262" s="519">
        <v>2042</v>
      </c>
      <c r="AD262" s="234" t="s">
        <v>225</v>
      </c>
      <c r="AE262" s="235">
        <f t="shared" si="47"/>
        <v>0</v>
      </c>
      <c r="AF262" s="235">
        <f t="shared" si="49"/>
        <v>0</v>
      </c>
      <c r="AG262" s="235">
        <f t="shared" si="54"/>
        <v>0</v>
      </c>
      <c r="AH262" s="247">
        <f t="shared" si="52"/>
        <v>0</v>
      </c>
      <c r="AI262" s="237"/>
      <c r="AK262" s="240"/>
    </row>
    <row r="263" spans="1:37" x14ac:dyDescent="0.2">
      <c r="A263" s="248"/>
      <c r="B263" s="234"/>
      <c r="C263" s="235"/>
      <c r="D263" s="235"/>
      <c r="E263" s="235"/>
      <c r="F263" s="236"/>
      <c r="G263" s="239"/>
      <c r="H263" s="248"/>
      <c r="I263" s="234"/>
      <c r="J263" s="235"/>
      <c r="K263" s="235"/>
      <c r="L263" s="235"/>
      <c r="M263" s="236"/>
      <c r="N263" s="239"/>
      <c r="O263" s="252"/>
      <c r="P263" s="234"/>
      <c r="Q263" s="235"/>
      <c r="R263" s="235"/>
      <c r="S263" s="235"/>
      <c r="T263" s="236"/>
      <c r="U263" s="239"/>
      <c r="V263" s="520"/>
      <c r="W263" s="234" t="s">
        <v>226</v>
      </c>
      <c r="X263" s="235">
        <f t="shared" si="50"/>
        <v>0</v>
      </c>
      <c r="Y263" s="235">
        <f t="shared" si="48"/>
        <v>0</v>
      </c>
      <c r="Z263" s="235">
        <f t="shared" si="53"/>
        <v>0</v>
      </c>
      <c r="AA263" s="247">
        <f t="shared" si="51"/>
        <v>0</v>
      </c>
      <c r="AB263" s="238"/>
      <c r="AC263" s="520"/>
      <c r="AD263" s="234" t="s">
        <v>226</v>
      </c>
      <c r="AE263" s="235">
        <f t="shared" si="47"/>
        <v>0</v>
      </c>
      <c r="AF263" s="235">
        <f t="shared" si="49"/>
        <v>0</v>
      </c>
      <c r="AG263" s="235">
        <f t="shared" si="54"/>
        <v>0</v>
      </c>
      <c r="AH263" s="247">
        <f t="shared" si="52"/>
        <v>0</v>
      </c>
      <c r="AI263" s="238"/>
      <c r="AK263" s="240"/>
    </row>
    <row r="264" spans="1:37" x14ac:dyDescent="0.2">
      <c r="A264" s="248"/>
      <c r="B264" s="234"/>
      <c r="C264" s="235"/>
      <c r="D264" s="235"/>
      <c r="E264" s="235"/>
      <c r="F264" s="236"/>
      <c r="G264" s="239"/>
      <c r="H264" s="248"/>
      <c r="I264" s="234"/>
      <c r="J264" s="235"/>
      <c r="K264" s="235"/>
      <c r="L264" s="235"/>
      <c r="M264" s="236"/>
      <c r="N264" s="239"/>
      <c r="O264" s="252"/>
      <c r="P264" s="234"/>
      <c r="Q264" s="235"/>
      <c r="R264" s="235"/>
      <c r="S264" s="235"/>
      <c r="T264" s="236"/>
      <c r="U264" s="239"/>
      <c r="V264" s="520"/>
      <c r="W264" s="234" t="s">
        <v>227</v>
      </c>
      <c r="X264" s="235">
        <f t="shared" si="50"/>
        <v>0</v>
      </c>
      <c r="Y264" s="235">
        <f t="shared" si="48"/>
        <v>0</v>
      </c>
      <c r="Z264" s="235">
        <f t="shared" si="53"/>
        <v>0</v>
      </c>
      <c r="AA264" s="247">
        <f t="shared" si="51"/>
        <v>0</v>
      </c>
      <c r="AB264" s="238"/>
      <c r="AC264" s="520"/>
      <c r="AD264" s="234" t="s">
        <v>227</v>
      </c>
      <c r="AE264" s="235">
        <f t="shared" si="47"/>
        <v>0</v>
      </c>
      <c r="AF264" s="235">
        <f t="shared" si="49"/>
        <v>0</v>
      </c>
      <c r="AG264" s="235">
        <f t="shared" si="54"/>
        <v>0</v>
      </c>
      <c r="AH264" s="247">
        <f t="shared" si="52"/>
        <v>0</v>
      </c>
      <c r="AI264" s="238"/>
      <c r="AK264" s="240"/>
    </row>
    <row r="265" spans="1:37" x14ac:dyDescent="0.2">
      <c r="A265" s="248"/>
      <c r="B265" s="234"/>
      <c r="C265" s="235"/>
      <c r="D265" s="235"/>
      <c r="E265" s="235"/>
      <c r="F265" s="236"/>
      <c r="G265" s="239"/>
      <c r="H265" s="248"/>
      <c r="I265" s="234"/>
      <c r="J265" s="235"/>
      <c r="K265" s="235"/>
      <c r="L265" s="235"/>
      <c r="M265" s="236"/>
      <c r="N265" s="239"/>
      <c r="O265" s="252"/>
      <c r="P265" s="234"/>
      <c r="Q265" s="235"/>
      <c r="R265" s="235"/>
      <c r="S265" s="235"/>
      <c r="T265" s="236"/>
      <c r="U265" s="239"/>
      <c r="V265" s="520"/>
      <c r="W265" s="234" t="s">
        <v>228</v>
      </c>
      <c r="X265" s="235">
        <f t="shared" si="50"/>
        <v>0</v>
      </c>
      <c r="Y265" s="235">
        <f t="shared" si="48"/>
        <v>0</v>
      </c>
      <c r="Z265" s="235">
        <f t="shared" si="53"/>
        <v>0</v>
      </c>
      <c r="AA265" s="247">
        <f t="shared" si="51"/>
        <v>0</v>
      </c>
      <c r="AB265" s="238"/>
      <c r="AC265" s="520"/>
      <c r="AD265" s="234" t="s">
        <v>228</v>
      </c>
      <c r="AE265" s="235">
        <f t="shared" si="47"/>
        <v>0</v>
      </c>
      <c r="AF265" s="235">
        <f t="shared" si="49"/>
        <v>0</v>
      </c>
      <c r="AG265" s="235">
        <f t="shared" si="54"/>
        <v>0</v>
      </c>
      <c r="AH265" s="247">
        <f t="shared" si="52"/>
        <v>0</v>
      </c>
      <c r="AI265" s="238"/>
      <c r="AK265" s="240"/>
    </row>
    <row r="266" spans="1:37" x14ac:dyDescent="0.2">
      <c r="A266" s="248"/>
      <c r="B266" s="234"/>
      <c r="C266" s="235"/>
      <c r="D266" s="235"/>
      <c r="E266" s="235"/>
      <c r="F266" s="236"/>
      <c r="G266" s="239"/>
      <c r="H266" s="248"/>
      <c r="I266" s="234"/>
      <c r="J266" s="235"/>
      <c r="K266" s="235"/>
      <c r="L266" s="235"/>
      <c r="M266" s="236"/>
      <c r="N266" s="239"/>
      <c r="O266" s="252"/>
      <c r="P266" s="234"/>
      <c r="Q266" s="235"/>
      <c r="R266" s="235"/>
      <c r="S266" s="235"/>
      <c r="T266" s="236"/>
      <c r="U266" s="239"/>
      <c r="V266" s="520"/>
      <c r="W266" s="234" t="s">
        <v>229</v>
      </c>
      <c r="X266" s="235">
        <f t="shared" si="50"/>
        <v>0</v>
      </c>
      <c r="Y266" s="235">
        <f t="shared" si="48"/>
        <v>0</v>
      </c>
      <c r="Z266" s="235">
        <f t="shared" si="53"/>
        <v>0</v>
      </c>
      <c r="AA266" s="247">
        <f t="shared" si="51"/>
        <v>0</v>
      </c>
      <c r="AB266" s="238"/>
      <c r="AC266" s="520"/>
      <c r="AD266" s="234" t="s">
        <v>229</v>
      </c>
      <c r="AE266" s="235">
        <f t="shared" si="47"/>
        <v>0</v>
      </c>
      <c r="AF266" s="235">
        <f t="shared" si="49"/>
        <v>0</v>
      </c>
      <c r="AG266" s="235">
        <f t="shared" si="54"/>
        <v>0</v>
      </c>
      <c r="AH266" s="247">
        <f t="shared" si="52"/>
        <v>0</v>
      </c>
      <c r="AI266" s="238"/>
      <c r="AK266" s="240"/>
    </row>
    <row r="267" spans="1:37" x14ac:dyDescent="0.2">
      <c r="A267" s="248"/>
      <c r="B267" s="234"/>
      <c r="C267" s="235"/>
      <c r="D267" s="235"/>
      <c r="E267" s="235"/>
      <c r="F267" s="236"/>
      <c r="G267" s="239"/>
      <c r="H267" s="248"/>
      <c r="I267" s="234"/>
      <c r="J267" s="235"/>
      <c r="K267" s="235"/>
      <c r="L267" s="235"/>
      <c r="M267" s="236"/>
      <c r="N267" s="239"/>
      <c r="O267" s="252"/>
      <c r="P267" s="234"/>
      <c r="Q267" s="235"/>
      <c r="R267" s="235"/>
      <c r="S267" s="235"/>
      <c r="T267" s="236"/>
      <c r="U267" s="239"/>
      <c r="V267" s="520"/>
      <c r="W267" s="234" t="s">
        <v>230</v>
      </c>
      <c r="X267" s="235">
        <f t="shared" si="50"/>
        <v>0</v>
      </c>
      <c r="Y267" s="235">
        <f t="shared" si="48"/>
        <v>0</v>
      </c>
      <c r="Z267" s="235">
        <f t="shared" si="53"/>
        <v>0</v>
      </c>
      <c r="AA267" s="247">
        <f t="shared" si="51"/>
        <v>0</v>
      </c>
      <c r="AB267" s="238"/>
      <c r="AC267" s="520"/>
      <c r="AD267" s="234" t="s">
        <v>230</v>
      </c>
      <c r="AE267" s="235">
        <f t="shared" si="47"/>
        <v>0</v>
      </c>
      <c r="AF267" s="235">
        <f t="shared" si="49"/>
        <v>0</v>
      </c>
      <c r="AG267" s="235">
        <f t="shared" si="54"/>
        <v>0</v>
      </c>
      <c r="AH267" s="247">
        <f t="shared" si="52"/>
        <v>0</v>
      </c>
      <c r="AI267" s="238"/>
      <c r="AK267" s="240"/>
    </row>
    <row r="268" spans="1:37" x14ac:dyDescent="0.2">
      <c r="A268" s="248"/>
      <c r="B268" s="234"/>
      <c r="C268" s="235"/>
      <c r="D268" s="235"/>
      <c r="E268" s="235"/>
      <c r="F268" s="236"/>
      <c r="G268" s="239"/>
      <c r="H268" s="248"/>
      <c r="I268" s="234"/>
      <c r="J268" s="235"/>
      <c r="K268" s="235"/>
      <c r="L268" s="235"/>
      <c r="M268" s="236"/>
      <c r="N268" s="239"/>
      <c r="O268" s="252"/>
      <c r="P268" s="234"/>
      <c r="Q268" s="235"/>
      <c r="R268" s="235"/>
      <c r="S268" s="235"/>
      <c r="T268" s="236"/>
      <c r="U268" s="239"/>
      <c r="V268" s="520"/>
      <c r="W268" s="234" t="s">
        <v>231</v>
      </c>
      <c r="X268" s="235">
        <f t="shared" si="50"/>
        <v>0</v>
      </c>
      <c r="Y268" s="235">
        <f t="shared" si="48"/>
        <v>0</v>
      </c>
      <c r="Z268" s="235">
        <f t="shared" si="53"/>
        <v>0</v>
      </c>
      <c r="AA268" s="247">
        <f t="shared" si="51"/>
        <v>0</v>
      </c>
      <c r="AB268" s="238"/>
      <c r="AC268" s="520"/>
      <c r="AD268" s="234" t="s">
        <v>231</v>
      </c>
      <c r="AE268" s="235">
        <f t="shared" si="47"/>
        <v>0</v>
      </c>
      <c r="AF268" s="235">
        <f t="shared" si="49"/>
        <v>0</v>
      </c>
      <c r="AG268" s="235">
        <f t="shared" si="54"/>
        <v>0</v>
      </c>
      <c r="AH268" s="247">
        <f t="shared" si="52"/>
        <v>0</v>
      </c>
      <c r="AI268" s="238"/>
      <c r="AK268" s="240"/>
    </row>
    <row r="269" spans="1:37" x14ac:dyDescent="0.2">
      <c r="A269" s="248"/>
      <c r="B269" s="234"/>
      <c r="C269" s="235"/>
      <c r="D269" s="235"/>
      <c r="E269" s="235"/>
      <c r="F269" s="236"/>
      <c r="G269" s="239"/>
      <c r="H269" s="248"/>
      <c r="I269" s="234"/>
      <c r="J269" s="235"/>
      <c r="K269" s="235"/>
      <c r="L269" s="235"/>
      <c r="M269" s="236"/>
      <c r="N269" s="239"/>
      <c r="O269" s="252"/>
      <c r="P269" s="234"/>
      <c r="Q269" s="235"/>
      <c r="R269" s="235"/>
      <c r="S269" s="235"/>
      <c r="T269" s="236"/>
      <c r="U269" s="239"/>
      <c r="V269" s="520"/>
      <c r="W269" s="234" t="s">
        <v>232</v>
      </c>
      <c r="X269" s="235">
        <f t="shared" si="50"/>
        <v>0</v>
      </c>
      <c r="Y269" s="235">
        <f t="shared" si="48"/>
        <v>0</v>
      </c>
      <c r="Z269" s="235">
        <f t="shared" si="53"/>
        <v>0</v>
      </c>
      <c r="AA269" s="247">
        <f t="shared" si="51"/>
        <v>0</v>
      </c>
      <c r="AB269" s="238"/>
      <c r="AC269" s="520"/>
      <c r="AD269" s="234" t="s">
        <v>232</v>
      </c>
      <c r="AE269" s="235">
        <f t="shared" si="47"/>
        <v>0</v>
      </c>
      <c r="AF269" s="235">
        <f t="shared" si="49"/>
        <v>0</v>
      </c>
      <c r="AG269" s="235">
        <f t="shared" si="54"/>
        <v>0</v>
      </c>
      <c r="AH269" s="247">
        <f t="shared" si="52"/>
        <v>0</v>
      </c>
      <c r="AI269" s="238"/>
      <c r="AK269" s="240"/>
    </row>
    <row r="270" spans="1:37" x14ac:dyDescent="0.2">
      <c r="A270" s="248"/>
      <c r="B270" s="234"/>
      <c r="C270" s="235"/>
      <c r="D270" s="235"/>
      <c r="E270" s="235"/>
      <c r="F270" s="236"/>
      <c r="G270" s="239"/>
      <c r="H270" s="248"/>
      <c r="I270" s="234"/>
      <c r="J270" s="235"/>
      <c r="K270" s="235"/>
      <c r="L270" s="235"/>
      <c r="M270" s="236"/>
      <c r="N270" s="239"/>
      <c r="O270" s="252"/>
      <c r="P270" s="234"/>
      <c r="Q270" s="235"/>
      <c r="R270" s="235"/>
      <c r="S270" s="235"/>
      <c r="T270" s="236"/>
      <c r="U270" s="239"/>
      <c r="V270" s="520"/>
      <c r="W270" s="234" t="s">
        <v>233</v>
      </c>
      <c r="X270" s="235">
        <f t="shared" si="50"/>
        <v>0</v>
      </c>
      <c r="Y270" s="235">
        <f t="shared" si="48"/>
        <v>0</v>
      </c>
      <c r="Z270" s="235">
        <f t="shared" si="53"/>
        <v>0</v>
      </c>
      <c r="AA270" s="247">
        <f t="shared" si="51"/>
        <v>0</v>
      </c>
      <c r="AB270" s="238"/>
      <c r="AC270" s="520"/>
      <c r="AD270" s="234" t="s">
        <v>233</v>
      </c>
      <c r="AE270" s="235">
        <f t="shared" si="47"/>
        <v>0</v>
      </c>
      <c r="AF270" s="235">
        <f t="shared" si="49"/>
        <v>0</v>
      </c>
      <c r="AG270" s="235">
        <f t="shared" si="54"/>
        <v>0</v>
      </c>
      <c r="AH270" s="247">
        <f t="shared" si="52"/>
        <v>0</v>
      </c>
      <c r="AI270" s="238"/>
      <c r="AK270" s="240"/>
    </row>
    <row r="271" spans="1:37" x14ac:dyDescent="0.2">
      <c r="A271" s="248"/>
      <c r="B271" s="234"/>
      <c r="C271" s="235"/>
      <c r="D271" s="235"/>
      <c r="E271" s="235"/>
      <c r="F271" s="236"/>
      <c r="G271" s="239"/>
      <c r="H271" s="248"/>
      <c r="I271" s="234"/>
      <c r="J271" s="235"/>
      <c r="K271" s="235"/>
      <c r="L271" s="235"/>
      <c r="M271" s="236"/>
      <c r="N271" s="239"/>
      <c r="O271" s="252"/>
      <c r="P271" s="234"/>
      <c r="Q271" s="235"/>
      <c r="R271" s="235"/>
      <c r="S271" s="235"/>
      <c r="T271" s="236"/>
      <c r="U271" s="239"/>
      <c r="V271" s="520"/>
      <c r="W271" s="234" t="s">
        <v>234</v>
      </c>
      <c r="X271" s="235">
        <f t="shared" si="50"/>
        <v>0</v>
      </c>
      <c r="Y271" s="235">
        <f t="shared" si="48"/>
        <v>0</v>
      </c>
      <c r="Z271" s="235">
        <f t="shared" si="53"/>
        <v>0</v>
      </c>
      <c r="AA271" s="247">
        <f t="shared" si="51"/>
        <v>0</v>
      </c>
      <c r="AB271" s="238"/>
      <c r="AC271" s="520"/>
      <c r="AD271" s="234" t="s">
        <v>234</v>
      </c>
      <c r="AE271" s="235">
        <f t="shared" ref="AE271:AE309" si="55">AE270-AG270</f>
        <v>0</v>
      </c>
      <c r="AF271" s="235">
        <f t="shared" si="49"/>
        <v>0</v>
      </c>
      <c r="AG271" s="235">
        <f t="shared" si="54"/>
        <v>0</v>
      </c>
      <c r="AH271" s="247">
        <f t="shared" si="52"/>
        <v>0</v>
      </c>
      <c r="AI271" s="238"/>
      <c r="AK271" s="240"/>
    </row>
    <row r="272" spans="1:37" x14ac:dyDescent="0.2">
      <c r="A272" s="248"/>
      <c r="B272" s="234"/>
      <c r="C272" s="235"/>
      <c r="D272" s="235"/>
      <c r="E272" s="235"/>
      <c r="F272" s="236"/>
      <c r="G272" s="239"/>
      <c r="H272" s="248"/>
      <c r="I272" s="234"/>
      <c r="J272" s="235"/>
      <c r="K272" s="235"/>
      <c r="L272" s="235"/>
      <c r="M272" s="236"/>
      <c r="N272" s="239"/>
      <c r="O272" s="252"/>
      <c r="P272" s="234"/>
      <c r="Q272" s="235"/>
      <c r="R272" s="235"/>
      <c r="S272" s="235"/>
      <c r="T272" s="236"/>
      <c r="U272" s="239"/>
      <c r="V272" s="520"/>
      <c r="W272" s="234" t="s">
        <v>235</v>
      </c>
      <c r="X272" s="235">
        <f t="shared" si="50"/>
        <v>0</v>
      </c>
      <c r="Y272" s="235">
        <f t="shared" si="48"/>
        <v>0</v>
      </c>
      <c r="Z272" s="235">
        <f t="shared" si="53"/>
        <v>0</v>
      </c>
      <c r="AA272" s="247">
        <f t="shared" si="51"/>
        <v>0</v>
      </c>
      <c r="AB272" s="238"/>
      <c r="AC272" s="520"/>
      <c r="AD272" s="234" t="s">
        <v>235</v>
      </c>
      <c r="AE272" s="235">
        <f t="shared" si="55"/>
        <v>0</v>
      </c>
      <c r="AF272" s="235">
        <f t="shared" si="49"/>
        <v>0</v>
      </c>
      <c r="AG272" s="235">
        <f t="shared" si="54"/>
        <v>0</v>
      </c>
      <c r="AH272" s="247">
        <f t="shared" si="52"/>
        <v>0</v>
      </c>
      <c r="AI272" s="238"/>
      <c r="AK272" s="240"/>
    </row>
    <row r="273" spans="1:37" x14ac:dyDescent="0.2">
      <c r="A273" s="248"/>
      <c r="B273" s="234"/>
      <c r="C273" s="235"/>
      <c r="D273" s="235"/>
      <c r="E273" s="235"/>
      <c r="F273" s="236"/>
      <c r="G273" s="239"/>
      <c r="H273" s="248"/>
      <c r="I273" s="234"/>
      <c r="J273" s="235"/>
      <c r="K273" s="235"/>
      <c r="L273" s="235"/>
      <c r="M273" s="236"/>
      <c r="N273" s="239"/>
      <c r="O273" s="252"/>
      <c r="P273" s="234"/>
      <c r="Q273" s="235"/>
      <c r="R273" s="235"/>
      <c r="S273" s="235"/>
      <c r="T273" s="236"/>
      <c r="U273" s="239"/>
      <c r="V273" s="521"/>
      <c r="W273" s="234" t="s">
        <v>236</v>
      </c>
      <c r="X273" s="235">
        <f t="shared" si="50"/>
        <v>0</v>
      </c>
      <c r="Y273" s="235">
        <f t="shared" si="48"/>
        <v>0</v>
      </c>
      <c r="Z273" s="235">
        <f t="shared" si="53"/>
        <v>0</v>
      </c>
      <c r="AA273" s="247">
        <f t="shared" si="51"/>
        <v>0</v>
      </c>
      <c r="AB273" s="239">
        <f>SUM(Y262:Y273)</f>
        <v>0</v>
      </c>
      <c r="AC273" s="521"/>
      <c r="AD273" s="234" t="s">
        <v>236</v>
      </c>
      <c r="AE273" s="235">
        <f t="shared" si="55"/>
        <v>0</v>
      </c>
      <c r="AF273" s="235">
        <f t="shared" si="49"/>
        <v>0</v>
      </c>
      <c r="AG273" s="235">
        <f t="shared" si="54"/>
        <v>0</v>
      </c>
      <c r="AH273" s="247">
        <f t="shared" si="52"/>
        <v>0</v>
      </c>
      <c r="AI273" s="239">
        <f>SUM(AF262:AF273)</f>
        <v>0</v>
      </c>
      <c r="AJ273" s="208">
        <f>V262</f>
        <v>2042</v>
      </c>
      <c r="AK273" s="240">
        <f>G273+N273+U273+AB273+AI273</f>
        <v>0</v>
      </c>
    </row>
    <row r="274" spans="1:37" x14ac:dyDescent="0.2">
      <c r="A274" s="248"/>
      <c r="B274" s="234"/>
      <c r="C274" s="235"/>
      <c r="D274" s="235"/>
      <c r="E274" s="235"/>
      <c r="F274" s="236"/>
      <c r="G274" s="239"/>
      <c r="H274" s="248"/>
      <c r="I274" s="234"/>
      <c r="J274" s="235"/>
      <c r="K274" s="235"/>
      <c r="L274" s="235"/>
      <c r="M274" s="236"/>
      <c r="N274" s="239"/>
      <c r="O274" s="513">
        <f>O190+1</f>
        <v>2037</v>
      </c>
      <c r="P274" s="234" t="s">
        <v>225</v>
      </c>
      <c r="Q274" s="235"/>
      <c r="R274" s="235"/>
      <c r="S274" s="235"/>
      <c r="T274" s="236">
        <f t="shared" ref="T274:T285" si="56">R274+S274</f>
        <v>0</v>
      </c>
      <c r="U274" s="239"/>
      <c r="V274" s="519">
        <v>2043</v>
      </c>
      <c r="W274" s="234" t="s">
        <v>225</v>
      </c>
      <c r="X274" s="235"/>
      <c r="Y274" s="235"/>
      <c r="Z274" s="235"/>
      <c r="AA274" s="247">
        <f t="shared" si="51"/>
        <v>0</v>
      </c>
      <c r="AB274" s="249"/>
      <c r="AC274" s="519">
        <v>2043</v>
      </c>
      <c r="AD274" s="234" t="s">
        <v>225</v>
      </c>
      <c r="AE274" s="235">
        <f t="shared" si="55"/>
        <v>0</v>
      </c>
      <c r="AF274" s="235">
        <f t="shared" si="49"/>
        <v>0</v>
      </c>
      <c r="AG274" s="235">
        <f t="shared" si="54"/>
        <v>0</v>
      </c>
      <c r="AH274" s="247">
        <f t="shared" si="52"/>
        <v>0</v>
      </c>
      <c r="AI274" s="249"/>
      <c r="AK274" s="240"/>
    </row>
    <row r="275" spans="1:37" x14ac:dyDescent="0.2">
      <c r="A275" s="248"/>
      <c r="B275" s="234"/>
      <c r="C275" s="235"/>
      <c r="D275" s="235"/>
      <c r="E275" s="235"/>
      <c r="F275" s="236"/>
      <c r="G275" s="239"/>
      <c r="H275" s="248"/>
      <c r="I275" s="234"/>
      <c r="J275" s="235"/>
      <c r="K275" s="235"/>
      <c r="L275" s="235"/>
      <c r="M275" s="236"/>
      <c r="N275" s="239"/>
      <c r="O275" s="514"/>
      <c r="P275" s="234" t="s">
        <v>226</v>
      </c>
      <c r="Q275" s="235"/>
      <c r="R275" s="235"/>
      <c r="S275" s="235"/>
      <c r="T275" s="236">
        <f t="shared" si="56"/>
        <v>0</v>
      </c>
      <c r="U275" s="239"/>
      <c r="V275" s="520"/>
      <c r="W275" s="234" t="s">
        <v>226</v>
      </c>
      <c r="X275" s="235"/>
      <c r="Y275" s="235"/>
      <c r="Z275" s="235"/>
      <c r="AA275" s="247">
        <f t="shared" si="51"/>
        <v>0</v>
      </c>
      <c r="AB275" s="250"/>
      <c r="AC275" s="520"/>
      <c r="AD275" s="234" t="s">
        <v>226</v>
      </c>
      <c r="AE275" s="235">
        <f t="shared" si="55"/>
        <v>0</v>
      </c>
      <c r="AF275" s="235">
        <f t="shared" si="49"/>
        <v>0</v>
      </c>
      <c r="AG275" s="235">
        <f t="shared" si="54"/>
        <v>0</v>
      </c>
      <c r="AH275" s="247">
        <f t="shared" si="52"/>
        <v>0</v>
      </c>
      <c r="AI275" s="250"/>
      <c r="AK275" s="240"/>
    </row>
    <row r="276" spans="1:37" x14ac:dyDescent="0.2">
      <c r="A276" s="248"/>
      <c r="B276" s="234"/>
      <c r="C276" s="235"/>
      <c r="D276" s="235"/>
      <c r="E276" s="235"/>
      <c r="F276" s="236"/>
      <c r="G276" s="239"/>
      <c r="H276" s="248"/>
      <c r="I276" s="234"/>
      <c r="J276" s="235"/>
      <c r="K276" s="235"/>
      <c r="L276" s="235"/>
      <c r="M276" s="236"/>
      <c r="N276" s="239"/>
      <c r="O276" s="514"/>
      <c r="P276" s="234" t="s">
        <v>227</v>
      </c>
      <c r="Q276" s="235"/>
      <c r="R276" s="235"/>
      <c r="S276" s="235"/>
      <c r="T276" s="236">
        <f t="shared" si="56"/>
        <v>0</v>
      </c>
      <c r="U276" s="239"/>
      <c r="V276" s="520"/>
      <c r="W276" s="234" t="s">
        <v>227</v>
      </c>
      <c r="X276" s="235"/>
      <c r="Y276" s="235"/>
      <c r="Z276" s="235"/>
      <c r="AA276" s="247">
        <f t="shared" si="51"/>
        <v>0</v>
      </c>
      <c r="AB276" s="250"/>
      <c r="AC276" s="520"/>
      <c r="AD276" s="234" t="s">
        <v>227</v>
      </c>
      <c r="AE276" s="235">
        <f t="shared" si="55"/>
        <v>0</v>
      </c>
      <c r="AF276" s="235">
        <f t="shared" si="49"/>
        <v>0</v>
      </c>
      <c r="AG276" s="235">
        <f t="shared" si="54"/>
        <v>0</v>
      </c>
      <c r="AH276" s="247">
        <f t="shared" si="52"/>
        <v>0</v>
      </c>
      <c r="AI276" s="250"/>
      <c r="AK276" s="240"/>
    </row>
    <row r="277" spans="1:37" x14ac:dyDescent="0.2">
      <c r="A277" s="248"/>
      <c r="B277" s="234"/>
      <c r="C277" s="235"/>
      <c r="D277" s="235"/>
      <c r="E277" s="235"/>
      <c r="F277" s="236"/>
      <c r="G277" s="239"/>
      <c r="H277" s="248"/>
      <c r="I277" s="234"/>
      <c r="J277" s="235"/>
      <c r="K277" s="235"/>
      <c r="L277" s="235"/>
      <c r="M277" s="236"/>
      <c r="N277" s="239"/>
      <c r="O277" s="514"/>
      <c r="P277" s="234" t="s">
        <v>228</v>
      </c>
      <c r="Q277" s="235"/>
      <c r="R277" s="235"/>
      <c r="S277" s="235"/>
      <c r="T277" s="236">
        <f t="shared" si="56"/>
        <v>0</v>
      </c>
      <c r="U277" s="239"/>
      <c r="V277" s="520"/>
      <c r="W277" s="234" t="s">
        <v>228</v>
      </c>
      <c r="X277" s="235"/>
      <c r="Y277" s="235"/>
      <c r="Z277" s="235"/>
      <c r="AA277" s="247">
        <f t="shared" si="51"/>
        <v>0</v>
      </c>
      <c r="AB277" s="250"/>
      <c r="AC277" s="520"/>
      <c r="AD277" s="234" t="s">
        <v>228</v>
      </c>
      <c r="AE277" s="235">
        <f t="shared" si="55"/>
        <v>0</v>
      </c>
      <c r="AF277" s="235">
        <f t="shared" si="49"/>
        <v>0</v>
      </c>
      <c r="AG277" s="235">
        <f t="shared" si="54"/>
        <v>0</v>
      </c>
      <c r="AH277" s="247">
        <f t="shared" si="52"/>
        <v>0</v>
      </c>
      <c r="AI277" s="250"/>
      <c r="AK277" s="240"/>
    </row>
    <row r="278" spans="1:37" x14ac:dyDescent="0.2">
      <c r="A278" s="248"/>
      <c r="B278" s="234"/>
      <c r="C278" s="235"/>
      <c r="D278" s="235"/>
      <c r="E278" s="235"/>
      <c r="F278" s="236"/>
      <c r="G278" s="239"/>
      <c r="H278" s="248"/>
      <c r="I278" s="234"/>
      <c r="J278" s="235"/>
      <c r="K278" s="235"/>
      <c r="L278" s="235"/>
      <c r="M278" s="236"/>
      <c r="N278" s="239"/>
      <c r="O278" s="514"/>
      <c r="P278" s="234" t="s">
        <v>229</v>
      </c>
      <c r="Q278" s="235"/>
      <c r="R278" s="235"/>
      <c r="S278" s="235"/>
      <c r="T278" s="236">
        <f t="shared" si="56"/>
        <v>0</v>
      </c>
      <c r="U278" s="239"/>
      <c r="V278" s="520"/>
      <c r="W278" s="234" t="s">
        <v>229</v>
      </c>
      <c r="X278" s="235"/>
      <c r="Y278" s="235"/>
      <c r="Z278" s="235"/>
      <c r="AA278" s="247">
        <f t="shared" si="51"/>
        <v>0</v>
      </c>
      <c r="AB278" s="250"/>
      <c r="AC278" s="520"/>
      <c r="AD278" s="234" t="s">
        <v>229</v>
      </c>
      <c r="AE278" s="235">
        <f t="shared" si="55"/>
        <v>0</v>
      </c>
      <c r="AF278" s="235">
        <f t="shared" si="49"/>
        <v>0</v>
      </c>
      <c r="AG278" s="235">
        <f t="shared" si="54"/>
        <v>0</v>
      </c>
      <c r="AH278" s="247">
        <f t="shared" si="52"/>
        <v>0</v>
      </c>
      <c r="AI278" s="250"/>
      <c r="AK278" s="240"/>
    </row>
    <row r="279" spans="1:37" x14ac:dyDescent="0.2">
      <c r="A279" s="248"/>
      <c r="B279" s="234"/>
      <c r="C279" s="235"/>
      <c r="D279" s="235"/>
      <c r="E279" s="235"/>
      <c r="F279" s="236"/>
      <c r="G279" s="239"/>
      <c r="H279" s="248"/>
      <c r="I279" s="234"/>
      <c r="J279" s="235"/>
      <c r="K279" s="235"/>
      <c r="L279" s="235"/>
      <c r="M279" s="236"/>
      <c r="N279" s="239"/>
      <c r="O279" s="514"/>
      <c r="P279" s="234" t="s">
        <v>230</v>
      </c>
      <c r="Q279" s="235"/>
      <c r="R279" s="235"/>
      <c r="S279" s="235"/>
      <c r="T279" s="236">
        <f t="shared" si="56"/>
        <v>0</v>
      </c>
      <c r="U279" s="239"/>
      <c r="V279" s="520"/>
      <c r="W279" s="234" t="s">
        <v>230</v>
      </c>
      <c r="X279" s="235"/>
      <c r="Y279" s="235"/>
      <c r="Z279" s="235"/>
      <c r="AA279" s="247">
        <f t="shared" si="51"/>
        <v>0</v>
      </c>
      <c r="AB279" s="250"/>
      <c r="AC279" s="520"/>
      <c r="AD279" s="234" t="s">
        <v>230</v>
      </c>
      <c r="AE279" s="235">
        <f t="shared" si="55"/>
        <v>0</v>
      </c>
      <c r="AF279" s="235">
        <f t="shared" si="49"/>
        <v>0</v>
      </c>
      <c r="AG279" s="235">
        <f t="shared" si="54"/>
        <v>0</v>
      </c>
      <c r="AH279" s="247">
        <f t="shared" si="52"/>
        <v>0</v>
      </c>
      <c r="AI279" s="250"/>
      <c r="AK279" s="240"/>
    </row>
    <row r="280" spans="1:37" x14ac:dyDescent="0.2">
      <c r="A280" s="248"/>
      <c r="B280" s="234"/>
      <c r="C280" s="235"/>
      <c r="D280" s="235"/>
      <c r="E280" s="235"/>
      <c r="F280" s="236"/>
      <c r="G280" s="239"/>
      <c r="H280" s="248"/>
      <c r="I280" s="234"/>
      <c r="J280" s="235"/>
      <c r="K280" s="235"/>
      <c r="L280" s="235"/>
      <c r="M280" s="236"/>
      <c r="N280" s="239"/>
      <c r="O280" s="514"/>
      <c r="P280" s="234" t="s">
        <v>231</v>
      </c>
      <c r="Q280" s="235"/>
      <c r="R280" s="235"/>
      <c r="S280" s="235"/>
      <c r="T280" s="236">
        <f t="shared" si="56"/>
        <v>0</v>
      </c>
      <c r="U280" s="239"/>
      <c r="V280" s="520"/>
      <c r="W280" s="234" t="s">
        <v>231</v>
      </c>
      <c r="X280" s="235"/>
      <c r="Y280" s="235"/>
      <c r="Z280" s="235"/>
      <c r="AA280" s="247">
        <f t="shared" si="51"/>
        <v>0</v>
      </c>
      <c r="AB280" s="250"/>
      <c r="AC280" s="520"/>
      <c r="AD280" s="234" t="s">
        <v>231</v>
      </c>
      <c r="AE280" s="235">
        <f t="shared" si="55"/>
        <v>0</v>
      </c>
      <c r="AF280" s="235">
        <f t="shared" si="49"/>
        <v>0</v>
      </c>
      <c r="AG280" s="235">
        <f t="shared" si="54"/>
        <v>0</v>
      </c>
      <c r="AH280" s="247">
        <f t="shared" si="52"/>
        <v>0</v>
      </c>
      <c r="AI280" s="250"/>
      <c r="AK280" s="240"/>
    </row>
    <row r="281" spans="1:37" x14ac:dyDescent="0.2">
      <c r="A281" s="248"/>
      <c r="B281" s="234"/>
      <c r="C281" s="235"/>
      <c r="D281" s="235"/>
      <c r="E281" s="235"/>
      <c r="F281" s="236"/>
      <c r="G281" s="239"/>
      <c r="H281" s="248"/>
      <c r="I281" s="234"/>
      <c r="J281" s="235"/>
      <c r="K281" s="235"/>
      <c r="L281" s="235"/>
      <c r="M281" s="236"/>
      <c r="N281" s="239"/>
      <c r="O281" s="514"/>
      <c r="P281" s="234" t="s">
        <v>232</v>
      </c>
      <c r="Q281" s="235"/>
      <c r="R281" s="235"/>
      <c r="S281" s="235"/>
      <c r="T281" s="236">
        <f t="shared" si="56"/>
        <v>0</v>
      </c>
      <c r="U281" s="239"/>
      <c r="V281" s="520"/>
      <c r="W281" s="234" t="s">
        <v>232</v>
      </c>
      <c r="X281" s="235"/>
      <c r="Y281" s="235"/>
      <c r="Z281" s="235"/>
      <c r="AA281" s="247">
        <f t="shared" si="51"/>
        <v>0</v>
      </c>
      <c r="AB281" s="250"/>
      <c r="AC281" s="520"/>
      <c r="AD281" s="234" t="s">
        <v>232</v>
      </c>
      <c r="AE281" s="235">
        <f t="shared" si="55"/>
        <v>0</v>
      </c>
      <c r="AF281" s="235">
        <f t="shared" si="49"/>
        <v>0</v>
      </c>
      <c r="AG281" s="235">
        <f t="shared" si="54"/>
        <v>0</v>
      </c>
      <c r="AH281" s="247">
        <f t="shared" si="52"/>
        <v>0</v>
      </c>
      <c r="AI281" s="250"/>
      <c r="AK281" s="240"/>
    </row>
    <row r="282" spans="1:37" x14ac:dyDescent="0.2">
      <c r="A282" s="248"/>
      <c r="B282" s="234"/>
      <c r="C282" s="235"/>
      <c r="D282" s="235"/>
      <c r="E282" s="235"/>
      <c r="F282" s="236"/>
      <c r="G282" s="239"/>
      <c r="H282" s="248"/>
      <c r="I282" s="234"/>
      <c r="J282" s="235"/>
      <c r="K282" s="235"/>
      <c r="L282" s="235"/>
      <c r="M282" s="236"/>
      <c r="N282" s="239"/>
      <c r="O282" s="514"/>
      <c r="P282" s="234" t="s">
        <v>233</v>
      </c>
      <c r="Q282" s="235"/>
      <c r="R282" s="235"/>
      <c r="S282" s="235"/>
      <c r="T282" s="236">
        <f t="shared" si="56"/>
        <v>0</v>
      </c>
      <c r="U282" s="239"/>
      <c r="V282" s="520"/>
      <c r="W282" s="234" t="s">
        <v>233</v>
      </c>
      <c r="X282" s="235"/>
      <c r="Y282" s="235"/>
      <c r="Z282" s="235"/>
      <c r="AA282" s="247">
        <f t="shared" si="51"/>
        <v>0</v>
      </c>
      <c r="AB282" s="250"/>
      <c r="AC282" s="520"/>
      <c r="AD282" s="234" t="s">
        <v>233</v>
      </c>
      <c r="AE282" s="235">
        <f t="shared" si="55"/>
        <v>0</v>
      </c>
      <c r="AF282" s="235">
        <f t="shared" si="49"/>
        <v>0</v>
      </c>
      <c r="AG282" s="235">
        <f t="shared" si="54"/>
        <v>0</v>
      </c>
      <c r="AH282" s="247">
        <f t="shared" si="52"/>
        <v>0</v>
      </c>
      <c r="AI282" s="250"/>
      <c r="AK282" s="240"/>
    </row>
    <row r="283" spans="1:37" x14ac:dyDescent="0.2">
      <c r="A283" s="248"/>
      <c r="B283" s="234"/>
      <c r="C283" s="235"/>
      <c r="D283" s="235"/>
      <c r="E283" s="235"/>
      <c r="F283" s="236"/>
      <c r="G283" s="239"/>
      <c r="H283" s="248"/>
      <c r="I283" s="234"/>
      <c r="J283" s="235"/>
      <c r="K283" s="235"/>
      <c r="L283" s="235"/>
      <c r="M283" s="236"/>
      <c r="N283" s="239"/>
      <c r="O283" s="514"/>
      <c r="P283" s="234" t="s">
        <v>234</v>
      </c>
      <c r="Q283" s="235"/>
      <c r="R283" s="235"/>
      <c r="S283" s="235"/>
      <c r="T283" s="236">
        <f t="shared" si="56"/>
        <v>0</v>
      </c>
      <c r="U283" s="239"/>
      <c r="V283" s="520"/>
      <c r="W283" s="234" t="s">
        <v>234</v>
      </c>
      <c r="X283" s="235"/>
      <c r="Y283" s="235"/>
      <c r="Z283" s="235"/>
      <c r="AA283" s="247">
        <f t="shared" si="51"/>
        <v>0</v>
      </c>
      <c r="AB283" s="250"/>
      <c r="AC283" s="520"/>
      <c r="AD283" s="234" t="s">
        <v>234</v>
      </c>
      <c r="AE283" s="235">
        <f t="shared" si="55"/>
        <v>0</v>
      </c>
      <c r="AF283" s="235">
        <f t="shared" ref="AF283:AF309" si="57">AE283*$Y$7/12</f>
        <v>0</v>
      </c>
      <c r="AG283" s="235">
        <f t="shared" si="54"/>
        <v>0</v>
      </c>
      <c r="AH283" s="247">
        <f t="shared" si="52"/>
        <v>0</v>
      </c>
      <c r="AI283" s="250"/>
      <c r="AK283" s="240"/>
    </row>
    <row r="284" spans="1:37" x14ac:dyDescent="0.2">
      <c r="A284" s="248"/>
      <c r="B284" s="234"/>
      <c r="C284" s="235"/>
      <c r="D284" s="235"/>
      <c r="E284" s="235"/>
      <c r="F284" s="236"/>
      <c r="G284" s="239"/>
      <c r="H284" s="248"/>
      <c r="I284" s="234"/>
      <c r="J284" s="235"/>
      <c r="K284" s="235"/>
      <c r="L284" s="235"/>
      <c r="M284" s="236"/>
      <c r="N284" s="239"/>
      <c r="O284" s="514"/>
      <c r="P284" s="234" t="s">
        <v>235</v>
      </c>
      <c r="Q284" s="235"/>
      <c r="R284" s="235"/>
      <c r="S284" s="235"/>
      <c r="T284" s="236">
        <f t="shared" si="56"/>
        <v>0</v>
      </c>
      <c r="U284" s="239"/>
      <c r="V284" s="520"/>
      <c r="W284" s="234" t="s">
        <v>235</v>
      </c>
      <c r="X284" s="235"/>
      <c r="Y284" s="235"/>
      <c r="Z284" s="235"/>
      <c r="AA284" s="247">
        <f t="shared" si="51"/>
        <v>0</v>
      </c>
      <c r="AB284" s="250"/>
      <c r="AC284" s="520"/>
      <c r="AD284" s="234" t="s">
        <v>235</v>
      </c>
      <c r="AE284" s="235">
        <f t="shared" si="55"/>
        <v>0</v>
      </c>
      <c r="AF284" s="235">
        <f t="shared" si="57"/>
        <v>0</v>
      </c>
      <c r="AG284" s="235">
        <f t="shared" si="54"/>
        <v>0</v>
      </c>
      <c r="AH284" s="247">
        <f t="shared" si="52"/>
        <v>0</v>
      </c>
      <c r="AI284" s="250"/>
      <c r="AK284" s="240"/>
    </row>
    <row r="285" spans="1:37" x14ac:dyDescent="0.2">
      <c r="A285" s="248"/>
      <c r="B285" s="234"/>
      <c r="C285" s="235"/>
      <c r="D285" s="235"/>
      <c r="E285" s="235"/>
      <c r="F285" s="236"/>
      <c r="G285" s="239"/>
      <c r="H285" s="248"/>
      <c r="I285" s="234"/>
      <c r="J285" s="235"/>
      <c r="K285" s="235"/>
      <c r="L285" s="235"/>
      <c r="M285" s="236"/>
      <c r="N285" s="239"/>
      <c r="O285" s="515"/>
      <c r="P285" s="234" t="s">
        <v>236</v>
      </c>
      <c r="Q285" s="235"/>
      <c r="R285" s="235"/>
      <c r="S285" s="235"/>
      <c r="T285" s="236">
        <f t="shared" si="56"/>
        <v>0</v>
      </c>
      <c r="U285" s="239"/>
      <c r="V285" s="521"/>
      <c r="W285" s="234" t="s">
        <v>236</v>
      </c>
      <c r="X285" s="235"/>
      <c r="Y285" s="235"/>
      <c r="Z285" s="235"/>
      <c r="AA285" s="247">
        <f t="shared" si="51"/>
        <v>0</v>
      </c>
      <c r="AB285" s="251">
        <f>SUM(Y274:Y285)</f>
        <v>0</v>
      </c>
      <c r="AC285" s="521"/>
      <c r="AD285" s="234" t="s">
        <v>236</v>
      </c>
      <c r="AE285" s="235">
        <f t="shared" si="55"/>
        <v>0</v>
      </c>
      <c r="AF285" s="235">
        <f t="shared" si="57"/>
        <v>0</v>
      </c>
      <c r="AG285" s="235">
        <f t="shared" si="54"/>
        <v>0</v>
      </c>
      <c r="AH285" s="247">
        <f t="shared" si="52"/>
        <v>0</v>
      </c>
      <c r="AI285" s="251">
        <f>SUM(AF274:AF285)</f>
        <v>0</v>
      </c>
      <c r="AJ285" s="208">
        <f>V274</f>
        <v>2043</v>
      </c>
      <c r="AK285" s="240">
        <f>G285+N285+U285+AB285+AI285</f>
        <v>0</v>
      </c>
    </row>
    <row r="286" spans="1:37" x14ac:dyDescent="0.2">
      <c r="A286" s="248"/>
      <c r="B286" s="234"/>
      <c r="C286" s="235"/>
      <c r="D286" s="235"/>
      <c r="E286" s="235"/>
      <c r="F286" s="236"/>
      <c r="G286" s="239"/>
      <c r="H286" s="248"/>
      <c r="I286" s="234"/>
      <c r="J286" s="235"/>
      <c r="K286" s="235"/>
      <c r="L286" s="235"/>
      <c r="M286" s="236"/>
      <c r="N286" s="239"/>
      <c r="O286" s="253"/>
      <c r="P286" s="234"/>
      <c r="Q286" s="235"/>
      <c r="R286" s="235"/>
      <c r="S286" s="235"/>
      <c r="T286" s="236"/>
      <c r="U286" s="239"/>
      <c r="V286" s="254"/>
      <c r="W286" s="234"/>
      <c r="X286" s="235"/>
      <c r="Y286" s="235"/>
      <c r="Z286" s="235"/>
      <c r="AA286" s="247"/>
      <c r="AB286" s="251"/>
      <c r="AC286" s="519">
        <v>2044</v>
      </c>
      <c r="AD286" s="234" t="s">
        <v>225</v>
      </c>
      <c r="AE286" s="235">
        <f t="shared" si="55"/>
        <v>0</v>
      </c>
      <c r="AF286" s="235">
        <f t="shared" si="57"/>
        <v>0</v>
      </c>
      <c r="AG286" s="235">
        <f t="shared" si="54"/>
        <v>0</v>
      </c>
      <c r="AH286" s="247">
        <f t="shared" si="52"/>
        <v>0</v>
      </c>
      <c r="AI286" s="251"/>
      <c r="AK286" s="240"/>
    </row>
    <row r="287" spans="1:37" x14ac:dyDescent="0.2">
      <c r="A287" s="248"/>
      <c r="B287" s="234"/>
      <c r="C287" s="235"/>
      <c r="D287" s="235"/>
      <c r="E287" s="235"/>
      <c r="F287" s="236"/>
      <c r="G287" s="239"/>
      <c r="H287" s="248"/>
      <c r="I287" s="234"/>
      <c r="J287" s="235"/>
      <c r="K287" s="235"/>
      <c r="L287" s="235"/>
      <c r="M287" s="236"/>
      <c r="N287" s="239"/>
      <c r="O287" s="253"/>
      <c r="P287" s="234"/>
      <c r="Q287" s="235"/>
      <c r="R287" s="235"/>
      <c r="S287" s="235"/>
      <c r="T287" s="236"/>
      <c r="U287" s="239"/>
      <c r="V287" s="254"/>
      <c r="W287" s="234"/>
      <c r="X287" s="235"/>
      <c r="Y287" s="235"/>
      <c r="Z287" s="235"/>
      <c r="AA287" s="247"/>
      <c r="AB287" s="251"/>
      <c r="AC287" s="520"/>
      <c r="AD287" s="234" t="s">
        <v>226</v>
      </c>
      <c r="AE287" s="235">
        <f t="shared" si="55"/>
        <v>0</v>
      </c>
      <c r="AF287" s="235">
        <f t="shared" si="57"/>
        <v>0</v>
      </c>
      <c r="AG287" s="235">
        <f t="shared" si="54"/>
        <v>0</v>
      </c>
      <c r="AH287" s="247">
        <f t="shared" si="52"/>
        <v>0</v>
      </c>
      <c r="AI287" s="251"/>
      <c r="AK287" s="240"/>
    </row>
    <row r="288" spans="1:37" x14ac:dyDescent="0.2">
      <c r="A288" s="248"/>
      <c r="B288" s="234"/>
      <c r="C288" s="235"/>
      <c r="D288" s="235"/>
      <c r="E288" s="235"/>
      <c r="F288" s="236"/>
      <c r="G288" s="239"/>
      <c r="H288" s="248"/>
      <c r="I288" s="234"/>
      <c r="J288" s="235"/>
      <c r="K288" s="235"/>
      <c r="L288" s="235"/>
      <c r="M288" s="236"/>
      <c r="N288" s="239"/>
      <c r="O288" s="253"/>
      <c r="P288" s="234"/>
      <c r="Q288" s="235"/>
      <c r="R288" s="235"/>
      <c r="S288" s="235"/>
      <c r="T288" s="236"/>
      <c r="U288" s="239"/>
      <c r="V288" s="254"/>
      <c r="W288" s="234"/>
      <c r="X288" s="235"/>
      <c r="Y288" s="235"/>
      <c r="Z288" s="235"/>
      <c r="AA288" s="247"/>
      <c r="AB288" s="251"/>
      <c r="AC288" s="520"/>
      <c r="AD288" s="234" t="s">
        <v>227</v>
      </c>
      <c r="AE288" s="235">
        <f t="shared" si="55"/>
        <v>0</v>
      </c>
      <c r="AF288" s="235">
        <f t="shared" si="57"/>
        <v>0</v>
      </c>
      <c r="AG288" s="235">
        <f t="shared" si="54"/>
        <v>0</v>
      </c>
      <c r="AH288" s="247">
        <f t="shared" si="52"/>
        <v>0</v>
      </c>
      <c r="AI288" s="251"/>
      <c r="AK288" s="240"/>
    </row>
    <row r="289" spans="1:37" x14ac:dyDescent="0.2">
      <c r="A289" s="248"/>
      <c r="B289" s="234"/>
      <c r="C289" s="235"/>
      <c r="D289" s="235"/>
      <c r="E289" s="235"/>
      <c r="F289" s="236"/>
      <c r="G289" s="239"/>
      <c r="H289" s="248"/>
      <c r="I289" s="234"/>
      <c r="J289" s="235"/>
      <c r="K289" s="235"/>
      <c r="L289" s="235"/>
      <c r="M289" s="236"/>
      <c r="N289" s="239"/>
      <c r="O289" s="253"/>
      <c r="P289" s="234"/>
      <c r="Q289" s="235"/>
      <c r="R289" s="235"/>
      <c r="S289" s="235"/>
      <c r="T289" s="236"/>
      <c r="U289" s="239"/>
      <c r="V289" s="254"/>
      <c r="W289" s="234"/>
      <c r="X289" s="235"/>
      <c r="Y289" s="235"/>
      <c r="Z289" s="235"/>
      <c r="AA289" s="247"/>
      <c r="AB289" s="251"/>
      <c r="AC289" s="520"/>
      <c r="AD289" s="234" t="s">
        <v>228</v>
      </c>
      <c r="AE289" s="235">
        <f t="shared" si="55"/>
        <v>0</v>
      </c>
      <c r="AF289" s="235">
        <f t="shared" si="57"/>
        <v>0</v>
      </c>
      <c r="AG289" s="235">
        <f t="shared" si="54"/>
        <v>0</v>
      </c>
      <c r="AH289" s="247">
        <f t="shared" si="52"/>
        <v>0</v>
      </c>
      <c r="AI289" s="251"/>
      <c r="AK289" s="240"/>
    </row>
    <row r="290" spans="1:37" x14ac:dyDescent="0.2">
      <c r="A290" s="248"/>
      <c r="B290" s="234"/>
      <c r="C290" s="235"/>
      <c r="D290" s="235"/>
      <c r="E290" s="235"/>
      <c r="F290" s="236"/>
      <c r="G290" s="239"/>
      <c r="H290" s="248"/>
      <c r="I290" s="234"/>
      <c r="J290" s="235"/>
      <c r="K290" s="235"/>
      <c r="L290" s="235"/>
      <c r="M290" s="236"/>
      <c r="N290" s="239"/>
      <c r="O290" s="253"/>
      <c r="P290" s="234"/>
      <c r="Q290" s="235"/>
      <c r="R290" s="235"/>
      <c r="S290" s="235"/>
      <c r="T290" s="236"/>
      <c r="U290" s="239"/>
      <c r="V290" s="254"/>
      <c r="W290" s="234"/>
      <c r="X290" s="235"/>
      <c r="Y290" s="235"/>
      <c r="Z290" s="235"/>
      <c r="AA290" s="247"/>
      <c r="AB290" s="251"/>
      <c r="AC290" s="520"/>
      <c r="AD290" s="234" t="s">
        <v>229</v>
      </c>
      <c r="AE290" s="235">
        <f t="shared" si="55"/>
        <v>0</v>
      </c>
      <c r="AF290" s="235">
        <f t="shared" si="57"/>
        <v>0</v>
      </c>
      <c r="AG290" s="235">
        <f t="shared" si="54"/>
        <v>0</v>
      </c>
      <c r="AH290" s="247">
        <f t="shared" si="52"/>
        <v>0</v>
      </c>
      <c r="AI290" s="251"/>
      <c r="AK290" s="240"/>
    </row>
    <row r="291" spans="1:37" x14ac:dyDescent="0.2">
      <c r="A291" s="248"/>
      <c r="B291" s="234"/>
      <c r="C291" s="235"/>
      <c r="D291" s="235"/>
      <c r="E291" s="235"/>
      <c r="F291" s="236"/>
      <c r="G291" s="239"/>
      <c r="H291" s="248"/>
      <c r="I291" s="234"/>
      <c r="J291" s="235"/>
      <c r="K291" s="235"/>
      <c r="L291" s="235"/>
      <c r="M291" s="236"/>
      <c r="N291" s="239"/>
      <c r="O291" s="253"/>
      <c r="P291" s="234"/>
      <c r="Q291" s="235"/>
      <c r="R291" s="235"/>
      <c r="S291" s="235"/>
      <c r="T291" s="236"/>
      <c r="U291" s="239"/>
      <c r="V291" s="254"/>
      <c r="W291" s="234"/>
      <c r="X291" s="235"/>
      <c r="Y291" s="235"/>
      <c r="Z291" s="235"/>
      <c r="AA291" s="247"/>
      <c r="AB291" s="251"/>
      <c r="AC291" s="520"/>
      <c r="AD291" s="234" t="s">
        <v>230</v>
      </c>
      <c r="AE291" s="235">
        <f t="shared" si="55"/>
        <v>0</v>
      </c>
      <c r="AF291" s="235">
        <f t="shared" si="57"/>
        <v>0</v>
      </c>
      <c r="AG291" s="235">
        <f t="shared" si="54"/>
        <v>0</v>
      </c>
      <c r="AH291" s="247">
        <f t="shared" si="52"/>
        <v>0</v>
      </c>
      <c r="AI291" s="251"/>
      <c r="AK291" s="240"/>
    </row>
    <row r="292" spans="1:37" x14ac:dyDescent="0.2">
      <c r="A292" s="248"/>
      <c r="B292" s="234"/>
      <c r="C292" s="235"/>
      <c r="D292" s="235"/>
      <c r="E292" s="235"/>
      <c r="F292" s="236"/>
      <c r="G292" s="239"/>
      <c r="H292" s="248"/>
      <c r="I292" s="234"/>
      <c r="J292" s="235"/>
      <c r="K292" s="235"/>
      <c r="L292" s="235"/>
      <c r="M292" s="236"/>
      <c r="N292" s="239"/>
      <c r="O292" s="253"/>
      <c r="P292" s="234"/>
      <c r="Q292" s="235"/>
      <c r="R292" s="235"/>
      <c r="S292" s="235"/>
      <c r="T292" s="236"/>
      <c r="U292" s="239"/>
      <c r="V292" s="254"/>
      <c r="W292" s="234"/>
      <c r="X292" s="235"/>
      <c r="Y292" s="235"/>
      <c r="Z292" s="235"/>
      <c r="AA292" s="247"/>
      <c r="AB292" s="251"/>
      <c r="AC292" s="520"/>
      <c r="AD292" s="234" t="s">
        <v>231</v>
      </c>
      <c r="AE292" s="235">
        <f t="shared" si="55"/>
        <v>0</v>
      </c>
      <c r="AF292" s="235">
        <f t="shared" si="57"/>
        <v>0</v>
      </c>
      <c r="AG292" s="235">
        <f t="shared" si="54"/>
        <v>0</v>
      </c>
      <c r="AH292" s="247">
        <f t="shared" ref="AH292:AH325" si="58">AF292+AG292</f>
        <v>0</v>
      </c>
      <c r="AI292" s="251"/>
      <c r="AK292" s="240"/>
    </row>
    <row r="293" spans="1:37" x14ac:dyDescent="0.2">
      <c r="A293" s="248"/>
      <c r="B293" s="234"/>
      <c r="C293" s="235"/>
      <c r="D293" s="235"/>
      <c r="E293" s="235"/>
      <c r="F293" s="236"/>
      <c r="G293" s="239"/>
      <c r="H293" s="248"/>
      <c r="I293" s="234"/>
      <c r="J293" s="235"/>
      <c r="K293" s="235"/>
      <c r="L293" s="235"/>
      <c r="M293" s="236"/>
      <c r="N293" s="239"/>
      <c r="O293" s="253"/>
      <c r="P293" s="234"/>
      <c r="Q293" s="235"/>
      <c r="R293" s="235"/>
      <c r="S293" s="235"/>
      <c r="T293" s="236"/>
      <c r="U293" s="239"/>
      <c r="V293" s="254"/>
      <c r="W293" s="234"/>
      <c r="X293" s="235"/>
      <c r="Y293" s="235"/>
      <c r="Z293" s="235"/>
      <c r="AA293" s="247"/>
      <c r="AB293" s="251"/>
      <c r="AC293" s="520"/>
      <c r="AD293" s="234" t="s">
        <v>232</v>
      </c>
      <c r="AE293" s="235">
        <f t="shared" si="55"/>
        <v>0</v>
      </c>
      <c r="AF293" s="235">
        <f t="shared" si="57"/>
        <v>0</v>
      </c>
      <c r="AG293" s="235">
        <f t="shared" si="54"/>
        <v>0</v>
      </c>
      <c r="AH293" s="247">
        <f t="shared" si="58"/>
        <v>0</v>
      </c>
      <c r="AI293" s="251"/>
      <c r="AK293" s="240"/>
    </row>
    <row r="294" spans="1:37" x14ac:dyDescent="0.2">
      <c r="A294" s="248"/>
      <c r="B294" s="234"/>
      <c r="C294" s="235"/>
      <c r="D294" s="235"/>
      <c r="E294" s="235"/>
      <c r="F294" s="236"/>
      <c r="G294" s="239"/>
      <c r="H294" s="248"/>
      <c r="I294" s="234"/>
      <c r="J294" s="235"/>
      <c r="K294" s="235"/>
      <c r="L294" s="235"/>
      <c r="M294" s="236"/>
      <c r="N294" s="239"/>
      <c r="O294" s="253"/>
      <c r="P294" s="234"/>
      <c r="Q294" s="235"/>
      <c r="R294" s="235"/>
      <c r="S294" s="235"/>
      <c r="T294" s="236"/>
      <c r="U294" s="239"/>
      <c r="V294" s="254"/>
      <c r="W294" s="234"/>
      <c r="X294" s="235"/>
      <c r="Y294" s="235"/>
      <c r="Z294" s="235"/>
      <c r="AA294" s="247"/>
      <c r="AB294" s="251"/>
      <c r="AC294" s="520"/>
      <c r="AD294" s="234" t="s">
        <v>233</v>
      </c>
      <c r="AE294" s="235">
        <f t="shared" si="55"/>
        <v>0</v>
      </c>
      <c r="AF294" s="235">
        <f t="shared" si="57"/>
        <v>0</v>
      </c>
      <c r="AG294" s="235">
        <f t="shared" si="54"/>
        <v>0</v>
      </c>
      <c r="AH294" s="247">
        <f t="shared" si="58"/>
        <v>0</v>
      </c>
      <c r="AI294" s="251"/>
      <c r="AK294" s="240"/>
    </row>
    <row r="295" spans="1:37" x14ac:dyDescent="0.2">
      <c r="A295" s="248"/>
      <c r="B295" s="234"/>
      <c r="C295" s="235"/>
      <c r="D295" s="235"/>
      <c r="E295" s="235"/>
      <c r="F295" s="236"/>
      <c r="G295" s="239"/>
      <c r="H295" s="248"/>
      <c r="I295" s="234"/>
      <c r="J295" s="235"/>
      <c r="K295" s="235"/>
      <c r="L295" s="235"/>
      <c r="M295" s="236"/>
      <c r="N295" s="239"/>
      <c r="O295" s="253"/>
      <c r="P295" s="234"/>
      <c r="Q295" s="235"/>
      <c r="R295" s="235"/>
      <c r="S295" s="235"/>
      <c r="T295" s="236"/>
      <c r="U295" s="239"/>
      <c r="V295" s="254"/>
      <c r="W295" s="234"/>
      <c r="X295" s="235"/>
      <c r="Y295" s="235"/>
      <c r="Z295" s="235"/>
      <c r="AA295" s="247"/>
      <c r="AB295" s="251"/>
      <c r="AC295" s="520"/>
      <c r="AD295" s="234" t="s">
        <v>234</v>
      </c>
      <c r="AE295" s="235">
        <f t="shared" si="55"/>
        <v>0</v>
      </c>
      <c r="AF295" s="235">
        <f t="shared" si="57"/>
        <v>0</v>
      </c>
      <c r="AG295" s="235">
        <f t="shared" si="54"/>
        <v>0</v>
      </c>
      <c r="AH295" s="247">
        <f t="shared" si="58"/>
        <v>0</v>
      </c>
      <c r="AI295" s="251"/>
      <c r="AK295" s="240"/>
    </row>
    <row r="296" spans="1:37" x14ac:dyDescent="0.2">
      <c r="A296" s="248"/>
      <c r="B296" s="234"/>
      <c r="C296" s="235"/>
      <c r="D296" s="235"/>
      <c r="E296" s="235"/>
      <c r="F296" s="236"/>
      <c r="G296" s="239"/>
      <c r="H296" s="248"/>
      <c r="I296" s="234"/>
      <c r="J296" s="235"/>
      <c r="K296" s="235"/>
      <c r="L296" s="235"/>
      <c r="M296" s="236"/>
      <c r="N296" s="239"/>
      <c r="O296" s="253"/>
      <c r="P296" s="234"/>
      <c r="Q296" s="235"/>
      <c r="R296" s="235"/>
      <c r="S296" s="235"/>
      <c r="T296" s="236"/>
      <c r="U296" s="239"/>
      <c r="V296" s="254"/>
      <c r="W296" s="234"/>
      <c r="X296" s="235"/>
      <c r="Y296" s="235"/>
      <c r="Z296" s="235"/>
      <c r="AA296" s="247"/>
      <c r="AB296" s="251"/>
      <c r="AC296" s="520"/>
      <c r="AD296" s="234" t="s">
        <v>235</v>
      </c>
      <c r="AE296" s="235">
        <f t="shared" si="55"/>
        <v>0</v>
      </c>
      <c r="AF296" s="235">
        <f t="shared" si="57"/>
        <v>0</v>
      </c>
      <c r="AG296" s="235">
        <f t="shared" si="54"/>
        <v>0</v>
      </c>
      <c r="AH296" s="247">
        <f t="shared" si="58"/>
        <v>0</v>
      </c>
      <c r="AI296" s="251"/>
      <c r="AK296" s="240"/>
    </row>
    <row r="297" spans="1:37" x14ac:dyDescent="0.2">
      <c r="A297" s="248"/>
      <c r="B297" s="234"/>
      <c r="C297" s="235"/>
      <c r="D297" s="235"/>
      <c r="E297" s="235"/>
      <c r="F297" s="236"/>
      <c r="G297" s="239"/>
      <c r="H297" s="248"/>
      <c r="I297" s="234"/>
      <c r="J297" s="235"/>
      <c r="K297" s="235"/>
      <c r="L297" s="235"/>
      <c r="M297" s="236"/>
      <c r="N297" s="239"/>
      <c r="O297" s="253"/>
      <c r="P297" s="234"/>
      <c r="Q297" s="235"/>
      <c r="R297" s="235"/>
      <c r="S297" s="235"/>
      <c r="T297" s="236"/>
      <c r="U297" s="239"/>
      <c r="V297" s="254"/>
      <c r="W297" s="234"/>
      <c r="X297" s="235"/>
      <c r="Y297" s="235"/>
      <c r="Z297" s="235"/>
      <c r="AA297" s="247"/>
      <c r="AB297" s="251"/>
      <c r="AC297" s="521"/>
      <c r="AD297" s="234" t="s">
        <v>236</v>
      </c>
      <c r="AE297" s="235">
        <f t="shared" si="55"/>
        <v>0</v>
      </c>
      <c r="AF297" s="235">
        <f t="shared" si="57"/>
        <v>0</v>
      </c>
      <c r="AG297" s="235">
        <f t="shared" si="54"/>
        <v>0</v>
      </c>
      <c r="AH297" s="247">
        <f t="shared" si="58"/>
        <v>0</v>
      </c>
      <c r="AI297" s="251">
        <f>SUM(AF286:AF297)</f>
        <v>0</v>
      </c>
      <c r="AJ297" s="208">
        <f>AC286</f>
        <v>2044</v>
      </c>
      <c r="AK297" s="240">
        <f>G297+N297+U297+AB297+AI297</f>
        <v>0</v>
      </c>
    </row>
    <row r="298" spans="1:37" x14ac:dyDescent="0.2">
      <c r="A298" s="248"/>
      <c r="B298" s="234"/>
      <c r="C298" s="235"/>
      <c r="D298" s="235"/>
      <c r="E298" s="235"/>
      <c r="F298" s="236"/>
      <c r="G298" s="239"/>
      <c r="H298" s="248"/>
      <c r="I298" s="234"/>
      <c r="J298" s="235"/>
      <c r="K298" s="235"/>
      <c r="L298" s="235"/>
      <c r="M298" s="236"/>
      <c r="N298" s="239"/>
      <c r="O298" s="253"/>
      <c r="P298" s="234"/>
      <c r="Q298" s="235"/>
      <c r="R298" s="235"/>
      <c r="S298" s="235"/>
      <c r="T298" s="236"/>
      <c r="U298" s="239"/>
      <c r="V298" s="254"/>
      <c r="W298" s="234"/>
      <c r="X298" s="235"/>
      <c r="Y298" s="235"/>
      <c r="Z298" s="235"/>
      <c r="AA298" s="247"/>
      <c r="AB298" s="251"/>
      <c r="AC298" s="519">
        <v>2045</v>
      </c>
      <c r="AD298" s="234" t="s">
        <v>225</v>
      </c>
      <c r="AE298" s="235">
        <f t="shared" si="55"/>
        <v>0</v>
      </c>
      <c r="AF298" s="235">
        <f t="shared" si="57"/>
        <v>0</v>
      </c>
      <c r="AG298" s="235">
        <f t="shared" si="54"/>
        <v>0</v>
      </c>
      <c r="AH298" s="247">
        <f t="shared" si="58"/>
        <v>0</v>
      </c>
      <c r="AI298" s="251"/>
      <c r="AK298" s="240"/>
    </row>
    <row r="299" spans="1:37" x14ac:dyDescent="0.2">
      <c r="A299" s="248"/>
      <c r="B299" s="234"/>
      <c r="C299" s="235"/>
      <c r="D299" s="235"/>
      <c r="E299" s="235"/>
      <c r="F299" s="236"/>
      <c r="G299" s="239"/>
      <c r="H299" s="248"/>
      <c r="I299" s="234"/>
      <c r="J299" s="235"/>
      <c r="K299" s="235"/>
      <c r="L299" s="235"/>
      <c r="M299" s="236"/>
      <c r="N299" s="239"/>
      <c r="O299" s="253"/>
      <c r="P299" s="234"/>
      <c r="Q299" s="235"/>
      <c r="R299" s="235"/>
      <c r="S299" s="235"/>
      <c r="T299" s="236"/>
      <c r="U299" s="239"/>
      <c r="V299" s="254"/>
      <c r="W299" s="234"/>
      <c r="X299" s="235"/>
      <c r="Y299" s="235"/>
      <c r="Z299" s="235"/>
      <c r="AA299" s="247"/>
      <c r="AB299" s="251"/>
      <c r="AC299" s="520"/>
      <c r="AD299" s="234" t="s">
        <v>226</v>
      </c>
      <c r="AE299" s="235">
        <f t="shared" si="55"/>
        <v>0</v>
      </c>
      <c r="AF299" s="235">
        <f t="shared" si="57"/>
        <v>0</v>
      </c>
      <c r="AG299" s="235">
        <f t="shared" si="54"/>
        <v>0</v>
      </c>
      <c r="AH299" s="247">
        <f t="shared" si="58"/>
        <v>0</v>
      </c>
      <c r="AI299" s="251"/>
      <c r="AK299" s="240"/>
    </row>
    <row r="300" spans="1:37" x14ac:dyDescent="0.2">
      <c r="A300" s="248"/>
      <c r="B300" s="234"/>
      <c r="C300" s="235"/>
      <c r="D300" s="235"/>
      <c r="E300" s="235"/>
      <c r="F300" s="236"/>
      <c r="G300" s="239"/>
      <c r="H300" s="248"/>
      <c r="I300" s="234"/>
      <c r="J300" s="235"/>
      <c r="K300" s="235"/>
      <c r="L300" s="235"/>
      <c r="M300" s="236"/>
      <c r="N300" s="239"/>
      <c r="O300" s="253"/>
      <c r="P300" s="234"/>
      <c r="Q300" s="235"/>
      <c r="R300" s="235"/>
      <c r="S300" s="235"/>
      <c r="T300" s="236"/>
      <c r="U300" s="239"/>
      <c r="V300" s="254"/>
      <c r="W300" s="234"/>
      <c r="X300" s="235"/>
      <c r="Y300" s="235"/>
      <c r="Z300" s="235"/>
      <c r="AA300" s="247"/>
      <c r="AB300" s="251"/>
      <c r="AC300" s="520"/>
      <c r="AD300" s="234" t="s">
        <v>227</v>
      </c>
      <c r="AE300" s="235">
        <f t="shared" si="55"/>
        <v>0</v>
      </c>
      <c r="AF300" s="235">
        <f t="shared" si="57"/>
        <v>0</v>
      </c>
      <c r="AG300" s="235">
        <f t="shared" si="54"/>
        <v>0</v>
      </c>
      <c r="AH300" s="247">
        <f t="shared" si="58"/>
        <v>0</v>
      </c>
      <c r="AI300" s="251"/>
      <c r="AK300" s="240"/>
    </row>
    <row r="301" spans="1:37" x14ac:dyDescent="0.2">
      <c r="A301" s="248"/>
      <c r="B301" s="234"/>
      <c r="C301" s="235"/>
      <c r="D301" s="235"/>
      <c r="E301" s="235"/>
      <c r="F301" s="236"/>
      <c r="G301" s="239"/>
      <c r="H301" s="248"/>
      <c r="I301" s="234"/>
      <c r="J301" s="235"/>
      <c r="K301" s="235"/>
      <c r="L301" s="235"/>
      <c r="M301" s="236"/>
      <c r="N301" s="239"/>
      <c r="O301" s="253"/>
      <c r="P301" s="234"/>
      <c r="Q301" s="235"/>
      <c r="R301" s="235"/>
      <c r="S301" s="235"/>
      <c r="T301" s="236"/>
      <c r="U301" s="239"/>
      <c r="V301" s="254"/>
      <c r="W301" s="234"/>
      <c r="X301" s="235"/>
      <c r="Y301" s="235"/>
      <c r="Z301" s="235"/>
      <c r="AA301" s="247"/>
      <c r="AB301" s="251"/>
      <c r="AC301" s="520"/>
      <c r="AD301" s="234" t="s">
        <v>228</v>
      </c>
      <c r="AE301" s="235">
        <f t="shared" si="55"/>
        <v>0</v>
      </c>
      <c r="AF301" s="235">
        <f t="shared" si="57"/>
        <v>0</v>
      </c>
      <c r="AG301" s="235">
        <f t="shared" si="54"/>
        <v>0</v>
      </c>
      <c r="AH301" s="247">
        <f t="shared" si="58"/>
        <v>0</v>
      </c>
      <c r="AI301" s="251"/>
      <c r="AK301" s="240"/>
    </row>
    <row r="302" spans="1:37" x14ac:dyDescent="0.2">
      <c r="A302" s="248"/>
      <c r="B302" s="234"/>
      <c r="C302" s="235"/>
      <c r="D302" s="235"/>
      <c r="E302" s="235"/>
      <c r="F302" s="236"/>
      <c r="G302" s="239"/>
      <c r="H302" s="248"/>
      <c r="I302" s="234"/>
      <c r="J302" s="235"/>
      <c r="K302" s="235"/>
      <c r="L302" s="235"/>
      <c r="M302" s="236"/>
      <c r="N302" s="239"/>
      <c r="O302" s="253"/>
      <c r="P302" s="234"/>
      <c r="Q302" s="235"/>
      <c r="R302" s="235"/>
      <c r="S302" s="235"/>
      <c r="T302" s="236"/>
      <c r="U302" s="239"/>
      <c r="V302" s="254"/>
      <c r="W302" s="234"/>
      <c r="X302" s="235"/>
      <c r="Y302" s="235"/>
      <c r="Z302" s="235"/>
      <c r="AA302" s="247"/>
      <c r="AB302" s="251"/>
      <c r="AC302" s="520"/>
      <c r="AD302" s="234" t="s">
        <v>229</v>
      </c>
      <c r="AE302" s="235">
        <f t="shared" si="55"/>
        <v>0</v>
      </c>
      <c r="AF302" s="235">
        <f t="shared" si="57"/>
        <v>0</v>
      </c>
      <c r="AG302" s="235">
        <f t="shared" si="54"/>
        <v>0</v>
      </c>
      <c r="AH302" s="247">
        <f t="shared" si="58"/>
        <v>0</v>
      </c>
      <c r="AI302" s="251"/>
      <c r="AK302" s="240"/>
    </row>
    <row r="303" spans="1:37" x14ac:dyDescent="0.2">
      <c r="A303" s="248"/>
      <c r="B303" s="234"/>
      <c r="C303" s="235"/>
      <c r="D303" s="235"/>
      <c r="E303" s="235"/>
      <c r="F303" s="236"/>
      <c r="G303" s="239"/>
      <c r="H303" s="248"/>
      <c r="I303" s="234"/>
      <c r="J303" s="235"/>
      <c r="K303" s="235"/>
      <c r="L303" s="235"/>
      <c r="M303" s="236"/>
      <c r="N303" s="239"/>
      <c r="O303" s="253"/>
      <c r="P303" s="234"/>
      <c r="Q303" s="235"/>
      <c r="R303" s="235"/>
      <c r="S303" s="235"/>
      <c r="T303" s="236"/>
      <c r="U303" s="239"/>
      <c r="V303" s="254"/>
      <c r="W303" s="234"/>
      <c r="X303" s="235"/>
      <c r="Y303" s="235"/>
      <c r="Z303" s="235"/>
      <c r="AA303" s="247"/>
      <c r="AB303" s="251"/>
      <c r="AC303" s="520"/>
      <c r="AD303" s="234" t="s">
        <v>230</v>
      </c>
      <c r="AE303" s="235">
        <f t="shared" si="55"/>
        <v>0</v>
      </c>
      <c r="AF303" s="235">
        <f t="shared" si="57"/>
        <v>0</v>
      </c>
      <c r="AG303" s="235">
        <f t="shared" si="54"/>
        <v>0</v>
      </c>
      <c r="AH303" s="247">
        <f t="shared" si="58"/>
        <v>0</v>
      </c>
      <c r="AI303" s="251"/>
      <c r="AK303" s="240"/>
    </row>
    <row r="304" spans="1:37" x14ac:dyDescent="0.2">
      <c r="A304" s="248"/>
      <c r="B304" s="234"/>
      <c r="C304" s="235"/>
      <c r="D304" s="235"/>
      <c r="E304" s="235"/>
      <c r="F304" s="236"/>
      <c r="G304" s="239"/>
      <c r="H304" s="248"/>
      <c r="I304" s="234"/>
      <c r="J304" s="235"/>
      <c r="K304" s="235"/>
      <c r="L304" s="235"/>
      <c r="M304" s="236"/>
      <c r="N304" s="239"/>
      <c r="O304" s="253"/>
      <c r="P304" s="234"/>
      <c r="Q304" s="235"/>
      <c r="R304" s="235"/>
      <c r="S304" s="235"/>
      <c r="T304" s="236"/>
      <c r="U304" s="239"/>
      <c r="V304" s="254"/>
      <c r="W304" s="234"/>
      <c r="X304" s="235"/>
      <c r="Y304" s="235"/>
      <c r="Z304" s="235"/>
      <c r="AA304" s="247"/>
      <c r="AB304" s="251"/>
      <c r="AC304" s="520"/>
      <c r="AD304" s="234" t="s">
        <v>231</v>
      </c>
      <c r="AE304" s="235">
        <f t="shared" si="55"/>
        <v>0</v>
      </c>
      <c r="AF304" s="235">
        <f t="shared" si="57"/>
        <v>0</v>
      </c>
      <c r="AG304" s="235">
        <f t="shared" si="54"/>
        <v>0</v>
      </c>
      <c r="AH304" s="247">
        <f t="shared" si="58"/>
        <v>0</v>
      </c>
      <c r="AI304" s="251"/>
      <c r="AK304" s="240"/>
    </row>
    <row r="305" spans="1:37" x14ac:dyDescent="0.2">
      <c r="A305" s="248"/>
      <c r="B305" s="234"/>
      <c r="C305" s="235"/>
      <c r="D305" s="235"/>
      <c r="E305" s="235"/>
      <c r="F305" s="236"/>
      <c r="G305" s="239"/>
      <c r="H305" s="248"/>
      <c r="I305" s="234"/>
      <c r="J305" s="235"/>
      <c r="K305" s="235"/>
      <c r="L305" s="235"/>
      <c r="M305" s="236"/>
      <c r="N305" s="239"/>
      <c r="O305" s="253"/>
      <c r="P305" s="234"/>
      <c r="Q305" s="235"/>
      <c r="R305" s="235"/>
      <c r="S305" s="235"/>
      <c r="T305" s="236"/>
      <c r="U305" s="239"/>
      <c r="V305" s="254"/>
      <c r="W305" s="234"/>
      <c r="X305" s="235"/>
      <c r="Y305" s="235"/>
      <c r="Z305" s="235"/>
      <c r="AA305" s="247"/>
      <c r="AB305" s="251"/>
      <c r="AC305" s="520"/>
      <c r="AD305" s="234" t="s">
        <v>232</v>
      </c>
      <c r="AE305" s="235">
        <f t="shared" si="55"/>
        <v>0</v>
      </c>
      <c r="AF305" s="235">
        <f t="shared" si="57"/>
        <v>0</v>
      </c>
      <c r="AG305" s="235">
        <f t="shared" si="54"/>
        <v>0</v>
      </c>
      <c r="AH305" s="247">
        <f t="shared" si="58"/>
        <v>0</v>
      </c>
      <c r="AI305" s="251"/>
      <c r="AK305" s="240"/>
    </row>
    <row r="306" spans="1:37" x14ac:dyDescent="0.2">
      <c r="A306" s="248"/>
      <c r="B306" s="234"/>
      <c r="C306" s="235"/>
      <c r="D306" s="235"/>
      <c r="E306" s="235"/>
      <c r="F306" s="236"/>
      <c r="G306" s="239"/>
      <c r="H306" s="248"/>
      <c r="I306" s="234"/>
      <c r="J306" s="235"/>
      <c r="K306" s="235"/>
      <c r="L306" s="235"/>
      <c r="M306" s="236"/>
      <c r="N306" s="239"/>
      <c r="O306" s="253"/>
      <c r="P306" s="234"/>
      <c r="Q306" s="235"/>
      <c r="R306" s="235"/>
      <c r="S306" s="235"/>
      <c r="T306" s="236"/>
      <c r="U306" s="239"/>
      <c r="V306" s="254"/>
      <c r="W306" s="234"/>
      <c r="X306" s="235"/>
      <c r="Y306" s="235"/>
      <c r="Z306" s="235"/>
      <c r="AA306" s="247"/>
      <c r="AB306" s="251"/>
      <c r="AC306" s="520"/>
      <c r="AD306" s="234" t="s">
        <v>233</v>
      </c>
      <c r="AE306" s="235">
        <f t="shared" si="55"/>
        <v>0</v>
      </c>
      <c r="AF306" s="235">
        <f t="shared" si="57"/>
        <v>0</v>
      </c>
      <c r="AG306" s="235">
        <f t="shared" si="54"/>
        <v>0</v>
      </c>
      <c r="AH306" s="247">
        <f t="shared" si="58"/>
        <v>0</v>
      </c>
      <c r="AI306" s="251"/>
      <c r="AK306" s="240"/>
    </row>
    <row r="307" spans="1:37" x14ac:dyDescent="0.2">
      <c r="A307" s="248"/>
      <c r="B307" s="234"/>
      <c r="C307" s="235"/>
      <c r="D307" s="235"/>
      <c r="E307" s="235"/>
      <c r="F307" s="236"/>
      <c r="G307" s="239"/>
      <c r="H307" s="248"/>
      <c r="I307" s="234"/>
      <c r="J307" s="235"/>
      <c r="K307" s="235"/>
      <c r="L307" s="235"/>
      <c r="M307" s="236"/>
      <c r="N307" s="239"/>
      <c r="O307" s="253"/>
      <c r="P307" s="234"/>
      <c r="Q307" s="235"/>
      <c r="R307" s="235"/>
      <c r="S307" s="235"/>
      <c r="T307" s="236"/>
      <c r="U307" s="239"/>
      <c r="V307" s="254"/>
      <c r="W307" s="234"/>
      <c r="X307" s="235"/>
      <c r="Y307" s="235"/>
      <c r="Z307" s="235"/>
      <c r="AA307" s="247"/>
      <c r="AB307" s="251"/>
      <c r="AC307" s="520"/>
      <c r="AD307" s="234" t="s">
        <v>234</v>
      </c>
      <c r="AE307" s="235">
        <f t="shared" si="55"/>
        <v>0</v>
      </c>
      <c r="AF307" s="235">
        <f t="shared" si="57"/>
        <v>0</v>
      </c>
      <c r="AG307" s="235">
        <f t="shared" si="54"/>
        <v>0</v>
      </c>
      <c r="AH307" s="247">
        <f t="shared" si="58"/>
        <v>0</v>
      </c>
      <c r="AI307" s="251"/>
      <c r="AK307" s="240"/>
    </row>
    <row r="308" spans="1:37" x14ac:dyDescent="0.2">
      <c r="A308" s="248"/>
      <c r="B308" s="234"/>
      <c r="C308" s="235"/>
      <c r="D308" s="235"/>
      <c r="E308" s="235"/>
      <c r="F308" s="236"/>
      <c r="G308" s="239"/>
      <c r="H308" s="248"/>
      <c r="I308" s="234"/>
      <c r="J308" s="235"/>
      <c r="K308" s="235"/>
      <c r="L308" s="235"/>
      <c r="M308" s="236"/>
      <c r="N308" s="239"/>
      <c r="O308" s="253"/>
      <c r="P308" s="234"/>
      <c r="Q308" s="235"/>
      <c r="R308" s="235"/>
      <c r="S308" s="235"/>
      <c r="T308" s="236"/>
      <c r="U308" s="239"/>
      <c r="V308" s="254"/>
      <c r="W308" s="234"/>
      <c r="X308" s="235"/>
      <c r="Y308" s="235"/>
      <c r="Z308" s="235"/>
      <c r="AA308" s="247"/>
      <c r="AB308" s="251"/>
      <c r="AC308" s="520"/>
      <c r="AD308" s="234" t="s">
        <v>235</v>
      </c>
      <c r="AE308" s="235">
        <f t="shared" si="55"/>
        <v>0</v>
      </c>
      <c r="AF308" s="235">
        <f t="shared" si="57"/>
        <v>0</v>
      </c>
      <c r="AG308" s="235">
        <f t="shared" si="54"/>
        <v>0</v>
      </c>
      <c r="AH308" s="247">
        <f t="shared" si="58"/>
        <v>0</v>
      </c>
      <c r="AI308" s="251"/>
      <c r="AK308" s="240"/>
    </row>
    <row r="309" spans="1:37" x14ac:dyDescent="0.2">
      <c r="A309" s="248"/>
      <c r="B309" s="234"/>
      <c r="C309" s="235"/>
      <c r="D309" s="235"/>
      <c r="E309" s="235"/>
      <c r="F309" s="236"/>
      <c r="G309" s="239"/>
      <c r="H309" s="248"/>
      <c r="I309" s="234"/>
      <c r="J309" s="235"/>
      <c r="K309" s="235"/>
      <c r="L309" s="235"/>
      <c r="M309" s="236"/>
      <c r="N309" s="239"/>
      <c r="O309" s="253"/>
      <c r="P309" s="234"/>
      <c r="Q309" s="235"/>
      <c r="R309" s="235"/>
      <c r="S309" s="235"/>
      <c r="T309" s="236"/>
      <c r="U309" s="239"/>
      <c r="V309" s="254"/>
      <c r="W309" s="234"/>
      <c r="X309" s="235"/>
      <c r="Y309" s="235"/>
      <c r="Z309" s="235"/>
      <c r="AA309" s="247"/>
      <c r="AB309" s="251"/>
      <c r="AC309" s="521"/>
      <c r="AD309" s="234" t="s">
        <v>236</v>
      </c>
      <c r="AE309" s="235">
        <f t="shared" si="55"/>
        <v>0</v>
      </c>
      <c r="AF309" s="235">
        <f t="shared" si="57"/>
        <v>0</v>
      </c>
      <c r="AG309" s="235">
        <f t="shared" si="54"/>
        <v>0</v>
      </c>
      <c r="AH309" s="247">
        <f t="shared" si="58"/>
        <v>0</v>
      </c>
      <c r="AI309" s="251">
        <f>SUM(AF298:AF309)</f>
        <v>0</v>
      </c>
      <c r="AJ309" s="208">
        <f>AC298</f>
        <v>2045</v>
      </c>
      <c r="AK309" s="240">
        <f>G309+N309+U309+AB309+AI309</f>
        <v>0</v>
      </c>
    </row>
    <row r="310" spans="1:37" x14ac:dyDescent="0.2">
      <c r="A310" s="248"/>
      <c r="B310" s="234"/>
      <c r="C310" s="235"/>
      <c r="D310" s="235"/>
      <c r="E310" s="235"/>
      <c r="F310" s="236"/>
      <c r="G310" s="239"/>
      <c r="H310" s="248"/>
      <c r="I310" s="234"/>
      <c r="J310" s="235"/>
      <c r="K310" s="235"/>
      <c r="L310" s="235"/>
      <c r="M310" s="236"/>
      <c r="N310" s="239"/>
      <c r="O310" s="253"/>
      <c r="P310" s="234"/>
      <c r="Q310" s="235"/>
      <c r="R310" s="235"/>
      <c r="S310" s="235"/>
      <c r="T310" s="236"/>
      <c r="U310" s="239"/>
      <c r="V310" s="254"/>
      <c r="W310" s="234"/>
      <c r="X310" s="235"/>
      <c r="Y310" s="235"/>
      <c r="Z310" s="235"/>
      <c r="AA310" s="247"/>
      <c r="AB310" s="251"/>
      <c r="AC310" s="519">
        <v>2046</v>
      </c>
      <c r="AD310" s="234" t="s">
        <v>225</v>
      </c>
      <c r="AE310" s="235"/>
      <c r="AF310" s="235"/>
      <c r="AG310" s="235"/>
      <c r="AH310" s="247">
        <f t="shared" si="58"/>
        <v>0</v>
      </c>
      <c r="AI310" s="251"/>
      <c r="AK310" s="240"/>
    </row>
    <row r="311" spans="1:37" x14ac:dyDescent="0.2">
      <c r="A311" s="248"/>
      <c r="B311" s="234"/>
      <c r="C311" s="235"/>
      <c r="D311" s="235"/>
      <c r="E311" s="235"/>
      <c r="F311" s="236"/>
      <c r="G311" s="239"/>
      <c r="H311" s="248"/>
      <c r="I311" s="234"/>
      <c r="J311" s="235"/>
      <c r="K311" s="235"/>
      <c r="L311" s="235"/>
      <c r="M311" s="236"/>
      <c r="N311" s="239"/>
      <c r="O311" s="253"/>
      <c r="P311" s="234"/>
      <c r="Q311" s="235"/>
      <c r="R311" s="235"/>
      <c r="S311" s="235"/>
      <c r="T311" s="236"/>
      <c r="U311" s="239"/>
      <c r="V311" s="254"/>
      <c r="W311" s="234"/>
      <c r="X311" s="235"/>
      <c r="Y311" s="235"/>
      <c r="Z311" s="235"/>
      <c r="AA311" s="247"/>
      <c r="AB311" s="251"/>
      <c r="AC311" s="520"/>
      <c r="AD311" s="234" t="s">
        <v>226</v>
      </c>
      <c r="AE311" s="235"/>
      <c r="AF311" s="235"/>
      <c r="AG311" s="235"/>
      <c r="AH311" s="247">
        <f t="shared" si="58"/>
        <v>0</v>
      </c>
      <c r="AI311" s="251"/>
      <c r="AK311" s="240"/>
    </row>
    <row r="312" spans="1:37" x14ac:dyDescent="0.2">
      <c r="A312" s="248"/>
      <c r="B312" s="234"/>
      <c r="C312" s="235"/>
      <c r="D312" s="235"/>
      <c r="E312" s="235"/>
      <c r="F312" s="236"/>
      <c r="G312" s="239"/>
      <c r="H312" s="248"/>
      <c r="I312" s="234"/>
      <c r="J312" s="235"/>
      <c r="K312" s="235"/>
      <c r="L312" s="235"/>
      <c r="M312" s="236"/>
      <c r="N312" s="239"/>
      <c r="O312" s="253"/>
      <c r="P312" s="234"/>
      <c r="Q312" s="235"/>
      <c r="R312" s="235"/>
      <c r="S312" s="235"/>
      <c r="T312" s="236"/>
      <c r="U312" s="239"/>
      <c r="V312" s="254"/>
      <c r="W312" s="234"/>
      <c r="X312" s="235"/>
      <c r="Y312" s="235"/>
      <c r="Z312" s="235"/>
      <c r="AA312" s="247"/>
      <c r="AB312" s="251"/>
      <c r="AC312" s="520"/>
      <c r="AD312" s="234" t="s">
        <v>227</v>
      </c>
      <c r="AE312" s="235"/>
      <c r="AF312" s="235"/>
      <c r="AG312" s="235"/>
      <c r="AH312" s="247">
        <f t="shared" si="58"/>
        <v>0</v>
      </c>
      <c r="AI312" s="251"/>
      <c r="AK312" s="240"/>
    </row>
    <row r="313" spans="1:37" x14ac:dyDescent="0.2">
      <c r="A313" s="248"/>
      <c r="B313" s="234"/>
      <c r="C313" s="235"/>
      <c r="D313" s="235"/>
      <c r="E313" s="235"/>
      <c r="F313" s="236"/>
      <c r="G313" s="239"/>
      <c r="H313" s="248"/>
      <c r="I313" s="234"/>
      <c r="J313" s="235"/>
      <c r="K313" s="235"/>
      <c r="L313" s="235"/>
      <c r="M313" s="236"/>
      <c r="N313" s="239"/>
      <c r="O313" s="253"/>
      <c r="P313" s="234"/>
      <c r="Q313" s="235"/>
      <c r="R313" s="235"/>
      <c r="S313" s="235"/>
      <c r="T313" s="236"/>
      <c r="U313" s="239"/>
      <c r="V313" s="254"/>
      <c r="W313" s="234"/>
      <c r="X313" s="235"/>
      <c r="Y313" s="235"/>
      <c r="Z313" s="235"/>
      <c r="AA313" s="247"/>
      <c r="AB313" s="251"/>
      <c r="AC313" s="520"/>
      <c r="AD313" s="234" t="s">
        <v>228</v>
      </c>
      <c r="AE313" s="235"/>
      <c r="AF313" s="235"/>
      <c r="AG313" s="235"/>
      <c r="AH313" s="247">
        <f t="shared" si="58"/>
        <v>0</v>
      </c>
      <c r="AI313" s="251"/>
      <c r="AK313" s="240"/>
    </row>
    <row r="314" spans="1:37" x14ac:dyDescent="0.2">
      <c r="A314" s="248"/>
      <c r="B314" s="234"/>
      <c r="C314" s="235"/>
      <c r="D314" s="235"/>
      <c r="E314" s="235"/>
      <c r="F314" s="236"/>
      <c r="G314" s="239"/>
      <c r="H314" s="248"/>
      <c r="I314" s="234"/>
      <c r="J314" s="235"/>
      <c r="K314" s="235"/>
      <c r="L314" s="235"/>
      <c r="M314" s="236"/>
      <c r="N314" s="239"/>
      <c r="O314" s="253"/>
      <c r="P314" s="234"/>
      <c r="Q314" s="235"/>
      <c r="R314" s="235"/>
      <c r="S314" s="235"/>
      <c r="T314" s="236"/>
      <c r="U314" s="239"/>
      <c r="V314" s="254"/>
      <c r="W314" s="234"/>
      <c r="X314" s="235"/>
      <c r="Y314" s="235"/>
      <c r="Z314" s="235"/>
      <c r="AA314" s="247"/>
      <c r="AB314" s="251"/>
      <c r="AC314" s="520"/>
      <c r="AD314" s="234" t="s">
        <v>229</v>
      </c>
      <c r="AE314" s="235"/>
      <c r="AF314" s="235"/>
      <c r="AG314" s="235"/>
      <c r="AH314" s="247">
        <f t="shared" si="58"/>
        <v>0</v>
      </c>
      <c r="AI314" s="251"/>
      <c r="AK314" s="240"/>
    </row>
    <row r="315" spans="1:37" x14ac:dyDescent="0.2">
      <c r="A315" s="248"/>
      <c r="B315" s="234"/>
      <c r="C315" s="235"/>
      <c r="D315" s="235"/>
      <c r="E315" s="235"/>
      <c r="F315" s="236"/>
      <c r="G315" s="239"/>
      <c r="H315" s="248"/>
      <c r="I315" s="234"/>
      <c r="J315" s="235"/>
      <c r="K315" s="235"/>
      <c r="L315" s="235"/>
      <c r="M315" s="236"/>
      <c r="N315" s="239"/>
      <c r="O315" s="253"/>
      <c r="P315" s="234"/>
      <c r="Q315" s="235"/>
      <c r="R315" s="235"/>
      <c r="S315" s="235"/>
      <c r="T315" s="236"/>
      <c r="U315" s="239"/>
      <c r="V315" s="254"/>
      <c r="W315" s="234"/>
      <c r="X315" s="235"/>
      <c r="Y315" s="235"/>
      <c r="Z315" s="235"/>
      <c r="AA315" s="247"/>
      <c r="AB315" s="251"/>
      <c r="AC315" s="520"/>
      <c r="AD315" s="234" t="s">
        <v>230</v>
      </c>
      <c r="AE315" s="235"/>
      <c r="AF315" s="235"/>
      <c r="AG315" s="235"/>
      <c r="AH315" s="247">
        <f t="shared" si="58"/>
        <v>0</v>
      </c>
      <c r="AI315" s="251"/>
      <c r="AK315" s="240"/>
    </row>
    <row r="316" spans="1:37" x14ac:dyDescent="0.2">
      <c r="A316" s="248"/>
      <c r="B316" s="234"/>
      <c r="C316" s="235"/>
      <c r="D316" s="235"/>
      <c r="E316" s="235"/>
      <c r="F316" s="236"/>
      <c r="G316" s="239"/>
      <c r="H316" s="248"/>
      <c r="I316" s="234"/>
      <c r="J316" s="235"/>
      <c r="K316" s="235"/>
      <c r="L316" s="235"/>
      <c r="M316" s="236"/>
      <c r="N316" s="239"/>
      <c r="O316" s="253"/>
      <c r="P316" s="234"/>
      <c r="Q316" s="235"/>
      <c r="R316" s="235"/>
      <c r="S316" s="235"/>
      <c r="T316" s="236"/>
      <c r="U316" s="239"/>
      <c r="V316" s="254"/>
      <c r="W316" s="234"/>
      <c r="X316" s="235"/>
      <c r="Y316" s="235"/>
      <c r="Z316" s="235"/>
      <c r="AA316" s="247"/>
      <c r="AB316" s="251"/>
      <c r="AC316" s="520"/>
      <c r="AD316" s="234" t="s">
        <v>231</v>
      </c>
      <c r="AE316" s="235"/>
      <c r="AF316" s="235"/>
      <c r="AG316" s="235"/>
      <c r="AH316" s="247">
        <f t="shared" si="58"/>
        <v>0</v>
      </c>
      <c r="AI316" s="251"/>
      <c r="AK316" s="240"/>
    </row>
    <row r="317" spans="1:37" x14ac:dyDescent="0.2">
      <c r="A317" s="248"/>
      <c r="B317" s="234"/>
      <c r="C317" s="235"/>
      <c r="D317" s="235"/>
      <c r="E317" s="235"/>
      <c r="F317" s="236"/>
      <c r="G317" s="239"/>
      <c r="H317" s="248"/>
      <c r="I317" s="234"/>
      <c r="J317" s="235"/>
      <c r="K317" s="235"/>
      <c r="L317" s="235"/>
      <c r="M317" s="236"/>
      <c r="N317" s="239"/>
      <c r="O317" s="253"/>
      <c r="P317" s="234"/>
      <c r="Q317" s="235"/>
      <c r="R317" s="235"/>
      <c r="S317" s="235"/>
      <c r="T317" s="236"/>
      <c r="U317" s="239"/>
      <c r="V317" s="254"/>
      <c r="W317" s="234"/>
      <c r="X317" s="235"/>
      <c r="Y317" s="235"/>
      <c r="Z317" s="235"/>
      <c r="AA317" s="247"/>
      <c r="AB317" s="251"/>
      <c r="AC317" s="520"/>
      <c r="AD317" s="234" t="s">
        <v>232</v>
      </c>
      <c r="AE317" s="235"/>
      <c r="AF317" s="235"/>
      <c r="AG317" s="235"/>
      <c r="AH317" s="247">
        <f t="shared" si="58"/>
        <v>0</v>
      </c>
      <c r="AI317" s="251"/>
      <c r="AK317" s="240"/>
    </row>
    <row r="318" spans="1:37" x14ac:dyDescent="0.2">
      <c r="A318" s="248"/>
      <c r="B318" s="234"/>
      <c r="C318" s="235"/>
      <c r="D318" s="235"/>
      <c r="E318" s="235"/>
      <c r="F318" s="236"/>
      <c r="G318" s="239"/>
      <c r="H318" s="248"/>
      <c r="I318" s="234"/>
      <c r="J318" s="235"/>
      <c r="K318" s="235"/>
      <c r="L318" s="235"/>
      <c r="M318" s="236"/>
      <c r="N318" s="239"/>
      <c r="O318" s="253"/>
      <c r="P318" s="234"/>
      <c r="Q318" s="235"/>
      <c r="R318" s="235"/>
      <c r="S318" s="235"/>
      <c r="T318" s="236"/>
      <c r="U318" s="239"/>
      <c r="V318" s="254"/>
      <c r="W318" s="234"/>
      <c r="X318" s="235"/>
      <c r="Y318" s="235"/>
      <c r="Z318" s="235"/>
      <c r="AA318" s="247"/>
      <c r="AB318" s="251"/>
      <c r="AC318" s="520"/>
      <c r="AD318" s="234" t="s">
        <v>233</v>
      </c>
      <c r="AE318" s="235"/>
      <c r="AF318" s="235"/>
      <c r="AG318" s="235"/>
      <c r="AH318" s="247">
        <f t="shared" si="58"/>
        <v>0</v>
      </c>
      <c r="AI318" s="251"/>
      <c r="AK318" s="240"/>
    </row>
    <row r="319" spans="1:37" x14ac:dyDescent="0.2">
      <c r="A319" s="248"/>
      <c r="B319" s="234"/>
      <c r="C319" s="235"/>
      <c r="D319" s="235"/>
      <c r="E319" s="235"/>
      <c r="F319" s="236"/>
      <c r="G319" s="239"/>
      <c r="H319" s="248"/>
      <c r="I319" s="234"/>
      <c r="J319" s="235"/>
      <c r="K319" s="235"/>
      <c r="L319" s="235"/>
      <c r="M319" s="236"/>
      <c r="N319" s="239"/>
      <c r="O319" s="253"/>
      <c r="P319" s="234"/>
      <c r="Q319" s="235"/>
      <c r="R319" s="235"/>
      <c r="S319" s="235"/>
      <c r="T319" s="236"/>
      <c r="U319" s="239"/>
      <c r="V319" s="254"/>
      <c r="W319" s="234"/>
      <c r="X319" s="235"/>
      <c r="Y319" s="235"/>
      <c r="Z319" s="235"/>
      <c r="AA319" s="247"/>
      <c r="AB319" s="251"/>
      <c r="AC319" s="520"/>
      <c r="AD319" s="234" t="s">
        <v>234</v>
      </c>
      <c r="AE319" s="235"/>
      <c r="AF319" s="235"/>
      <c r="AG319" s="235"/>
      <c r="AH319" s="247">
        <f t="shared" si="58"/>
        <v>0</v>
      </c>
      <c r="AI319" s="251"/>
      <c r="AK319" s="240"/>
    </row>
    <row r="320" spans="1:37" x14ac:dyDescent="0.2">
      <c r="A320" s="248"/>
      <c r="B320" s="234"/>
      <c r="C320" s="235"/>
      <c r="D320" s="235"/>
      <c r="E320" s="235"/>
      <c r="F320" s="236"/>
      <c r="G320" s="239"/>
      <c r="H320" s="248"/>
      <c r="I320" s="234"/>
      <c r="J320" s="235"/>
      <c r="K320" s="235"/>
      <c r="L320" s="235"/>
      <c r="M320" s="236"/>
      <c r="N320" s="239"/>
      <c r="O320" s="253"/>
      <c r="P320" s="234"/>
      <c r="Q320" s="235"/>
      <c r="R320" s="235"/>
      <c r="S320" s="235"/>
      <c r="T320" s="236"/>
      <c r="U320" s="239"/>
      <c r="V320" s="254"/>
      <c r="W320" s="234"/>
      <c r="X320" s="235"/>
      <c r="Y320" s="235"/>
      <c r="Z320" s="235"/>
      <c r="AA320" s="247"/>
      <c r="AB320" s="251"/>
      <c r="AC320" s="520"/>
      <c r="AD320" s="234" t="s">
        <v>235</v>
      </c>
      <c r="AE320" s="235"/>
      <c r="AF320" s="235"/>
      <c r="AG320" s="235"/>
      <c r="AH320" s="247">
        <f t="shared" si="58"/>
        <v>0</v>
      </c>
      <c r="AI320" s="251"/>
      <c r="AK320" s="240"/>
    </row>
    <row r="321" spans="1:37" x14ac:dyDescent="0.2">
      <c r="A321" s="248"/>
      <c r="B321" s="234"/>
      <c r="C321" s="235"/>
      <c r="D321" s="235"/>
      <c r="E321" s="235"/>
      <c r="F321" s="236"/>
      <c r="G321" s="239"/>
      <c r="H321" s="248"/>
      <c r="I321" s="234"/>
      <c r="J321" s="235"/>
      <c r="K321" s="235"/>
      <c r="L321" s="235"/>
      <c r="M321" s="236"/>
      <c r="N321" s="239"/>
      <c r="O321" s="253"/>
      <c r="P321" s="234"/>
      <c r="Q321" s="235"/>
      <c r="R321" s="235"/>
      <c r="S321" s="235"/>
      <c r="T321" s="236"/>
      <c r="U321" s="239"/>
      <c r="V321" s="254"/>
      <c r="W321" s="234"/>
      <c r="X321" s="235"/>
      <c r="Y321" s="235"/>
      <c r="Z321" s="235"/>
      <c r="AA321" s="247"/>
      <c r="AB321" s="251"/>
      <c r="AC321" s="521"/>
      <c r="AD321" s="234" t="s">
        <v>236</v>
      </c>
      <c r="AE321" s="235"/>
      <c r="AF321" s="235"/>
      <c r="AG321" s="235"/>
      <c r="AH321" s="247">
        <f t="shared" si="58"/>
        <v>0</v>
      </c>
      <c r="AI321" s="251"/>
      <c r="AK321" s="240"/>
    </row>
    <row r="322" spans="1:37" x14ac:dyDescent="0.2">
      <c r="A322" s="248"/>
      <c r="B322" s="234"/>
      <c r="C322" s="235"/>
      <c r="D322" s="235"/>
      <c r="E322" s="235"/>
      <c r="F322" s="236"/>
      <c r="G322" s="239"/>
      <c r="H322" s="248"/>
      <c r="I322" s="234"/>
      <c r="J322" s="235"/>
      <c r="K322" s="235"/>
      <c r="L322" s="235"/>
      <c r="M322" s="236"/>
      <c r="N322" s="239"/>
      <c r="O322" s="253"/>
      <c r="P322" s="234"/>
      <c r="Q322" s="235"/>
      <c r="R322" s="235"/>
      <c r="S322" s="235"/>
      <c r="T322" s="236"/>
      <c r="U322" s="239"/>
      <c r="V322" s="254"/>
      <c r="W322" s="234"/>
      <c r="X322" s="235"/>
      <c r="Y322" s="235"/>
      <c r="Z322" s="235"/>
      <c r="AA322" s="247"/>
      <c r="AB322" s="251"/>
      <c r="AC322" s="519">
        <v>2047</v>
      </c>
      <c r="AD322" s="234" t="s">
        <v>225</v>
      </c>
      <c r="AE322" s="235"/>
      <c r="AF322" s="235"/>
      <c r="AG322" s="235"/>
      <c r="AH322" s="247">
        <f t="shared" si="58"/>
        <v>0</v>
      </c>
      <c r="AI322" s="251"/>
      <c r="AK322" s="240"/>
    </row>
    <row r="323" spans="1:37" x14ac:dyDescent="0.2">
      <c r="A323" s="248"/>
      <c r="B323" s="234"/>
      <c r="C323" s="235"/>
      <c r="D323" s="235"/>
      <c r="E323" s="235"/>
      <c r="F323" s="236"/>
      <c r="G323" s="239"/>
      <c r="H323" s="248"/>
      <c r="I323" s="234"/>
      <c r="J323" s="235"/>
      <c r="K323" s="235"/>
      <c r="L323" s="235"/>
      <c r="M323" s="236"/>
      <c r="N323" s="239"/>
      <c r="O323" s="253"/>
      <c r="P323" s="234"/>
      <c r="Q323" s="235"/>
      <c r="R323" s="235"/>
      <c r="S323" s="235"/>
      <c r="T323" s="236"/>
      <c r="U323" s="239"/>
      <c r="V323" s="254"/>
      <c r="W323" s="234"/>
      <c r="X323" s="235"/>
      <c r="Y323" s="235"/>
      <c r="Z323" s="235"/>
      <c r="AA323" s="247"/>
      <c r="AB323" s="251"/>
      <c r="AC323" s="520"/>
      <c r="AD323" s="234" t="s">
        <v>226</v>
      </c>
      <c r="AE323" s="235"/>
      <c r="AF323" s="235"/>
      <c r="AG323" s="235"/>
      <c r="AH323" s="247">
        <f t="shared" si="58"/>
        <v>0</v>
      </c>
      <c r="AI323" s="251"/>
      <c r="AK323" s="240"/>
    </row>
    <row r="324" spans="1:37" x14ac:dyDescent="0.2">
      <c r="A324" s="248"/>
      <c r="B324" s="234"/>
      <c r="C324" s="235"/>
      <c r="D324" s="235"/>
      <c r="E324" s="235"/>
      <c r="F324" s="236"/>
      <c r="G324" s="239"/>
      <c r="H324" s="248"/>
      <c r="I324" s="234"/>
      <c r="J324" s="235"/>
      <c r="K324" s="235"/>
      <c r="L324" s="235"/>
      <c r="M324" s="236"/>
      <c r="N324" s="239"/>
      <c r="O324" s="253"/>
      <c r="P324" s="234"/>
      <c r="Q324" s="235"/>
      <c r="R324" s="235"/>
      <c r="S324" s="235"/>
      <c r="T324" s="236"/>
      <c r="U324" s="239"/>
      <c r="V324" s="254"/>
      <c r="W324" s="234"/>
      <c r="X324" s="235"/>
      <c r="Y324" s="235"/>
      <c r="Z324" s="235"/>
      <c r="AA324" s="247"/>
      <c r="AB324" s="251"/>
      <c r="AC324" s="520"/>
      <c r="AD324" s="234" t="s">
        <v>227</v>
      </c>
      <c r="AE324" s="235"/>
      <c r="AF324" s="235"/>
      <c r="AG324" s="235"/>
      <c r="AH324" s="247">
        <f t="shared" si="58"/>
        <v>0</v>
      </c>
      <c r="AI324" s="251"/>
      <c r="AK324" s="240"/>
    </row>
    <row r="325" spans="1:37" x14ac:dyDescent="0.2">
      <c r="A325" s="248"/>
      <c r="B325" s="234"/>
      <c r="C325" s="235"/>
      <c r="D325" s="235"/>
      <c r="E325" s="235"/>
      <c r="F325" s="236"/>
      <c r="G325" s="239"/>
      <c r="H325" s="248"/>
      <c r="I325" s="234"/>
      <c r="J325" s="235"/>
      <c r="K325" s="235"/>
      <c r="L325" s="235"/>
      <c r="M325" s="236"/>
      <c r="N325" s="239"/>
      <c r="O325" s="253"/>
      <c r="P325" s="234"/>
      <c r="Q325" s="235"/>
      <c r="R325" s="235"/>
      <c r="S325" s="235"/>
      <c r="T325" s="236"/>
      <c r="U325" s="239"/>
      <c r="V325" s="254"/>
      <c r="W325" s="234"/>
      <c r="X325" s="235"/>
      <c r="Y325" s="235"/>
      <c r="Z325" s="235"/>
      <c r="AA325" s="247"/>
      <c r="AB325" s="251"/>
      <c r="AC325" s="520"/>
      <c r="AD325" s="234" t="s">
        <v>228</v>
      </c>
      <c r="AE325" s="235"/>
      <c r="AF325" s="235"/>
      <c r="AG325" s="235"/>
      <c r="AH325" s="247">
        <f t="shared" si="58"/>
        <v>0</v>
      </c>
      <c r="AI325" s="251"/>
      <c r="AK325" s="240"/>
    </row>
    <row r="326" spans="1:37" x14ac:dyDescent="0.2">
      <c r="A326" s="248"/>
      <c r="B326" s="234"/>
      <c r="C326" s="235"/>
      <c r="D326" s="235"/>
      <c r="E326" s="235"/>
      <c r="F326" s="236"/>
      <c r="G326" s="239"/>
      <c r="H326" s="248"/>
      <c r="I326" s="234"/>
      <c r="J326" s="235"/>
      <c r="K326" s="235"/>
      <c r="L326" s="235"/>
      <c r="M326" s="236"/>
      <c r="N326" s="239"/>
      <c r="O326" s="253"/>
      <c r="P326" s="234"/>
      <c r="Q326" s="235"/>
      <c r="R326" s="235"/>
      <c r="S326" s="235"/>
      <c r="T326" s="236"/>
      <c r="U326" s="239"/>
      <c r="V326" s="254"/>
      <c r="W326" s="234"/>
      <c r="X326" s="235"/>
      <c r="Y326" s="235"/>
      <c r="Z326" s="235"/>
      <c r="AA326" s="247"/>
      <c r="AB326" s="251"/>
      <c r="AC326" s="520"/>
      <c r="AD326" s="234" t="s">
        <v>229</v>
      </c>
      <c r="AE326" s="235"/>
      <c r="AF326" s="235"/>
      <c r="AG326" s="235"/>
      <c r="AH326" s="247"/>
      <c r="AI326" s="251"/>
      <c r="AK326" s="240"/>
    </row>
    <row r="327" spans="1:37" x14ac:dyDescent="0.2">
      <c r="A327" s="248"/>
      <c r="B327" s="234"/>
      <c r="C327" s="235"/>
      <c r="D327" s="235"/>
      <c r="E327" s="235"/>
      <c r="F327" s="236"/>
      <c r="G327" s="239"/>
      <c r="H327" s="248"/>
      <c r="I327" s="234"/>
      <c r="J327" s="235"/>
      <c r="K327" s="235"/>
      <c r="L327" s="235"/>
      <c r="M327" s="236"/>
      <c r="N327" s="239"/>
      <c r="O327" s="253"/>
      <c r="P327" s="234"/>
      <c r="Q327" s="235"/>
      <c r="R327" s="235"/>
      <c r="S327" s="235"/>
      <c r="T327" s="236"/>
      <c r="U327" s="239"/>
      <c r="V327" s="254"/>
      <c r="W327" s="234"/>
      <c r="X327" s="235"/>
      <c r="Y327" s="235"/>
      <c r="Z327" s="235"/>
      <c r="AA327" s="247"/>
      <c r="AB327" s="251"/>
      <c r="AC327" s="520"/>
      <c r="AD327" s="234" t="s">
        <v>230</v>
      </c>
      <c r="AE327" s="235"/>
      <c r="AF327" s="235"/>
      <c r="AG327" s="235"/>
      <c r="AH327" s="247"/>
      <c r="AI327" s="251"/>
      <c r="AK327" s="240"/>
    </row>
    <row r="328" spans="1:37" x14ac:dyDescent="0.2">
      <c r="A328" s="248"/>
      <c r="B328" s="234"/>
      <c r="C328" s="235"/>
      <c r="D328" s="235"/>
      <c r="E328" s="235"/>
      <c r="F328" s="236"/>
      <c r="G328" s="239"/>
      <c r="H328" s="248"/>
      <c r="I328" s="234"/>
      <c r="J328" s="235"/>
      <c r="K328" s="235"/>
      <c r="L328" s="235"/>
      <c r="M328" s="236"/>
      <c r="N328" s="239"/>
      <c r="O328" s="253"/>
      <c r="P328" s="234"/>
      <c r="Q328" s="235"/>
      <c r="R328" s="235"/>
      <c r="S328" s="235"/>
      <c r="T328" s="236"/>
      <c r="U328" s="239"/>
      <c r="V328" s="254"/>
      <c r="W328" s="234"/>
      <c r="X328" s="235"/>
      <c r="Y328" s="235"/>
      <c r="Z328" s="235"/>
      <c r="AA328" s="247"/>
      <c r="AB328" s="251"/>
      <c r="AC328" s="520"/>
      <c r="AD328" s="234" t="s">
        <v>231</v>
      </c>
      <c r="AE328" s="235"/>
      <c r="AF328" s="235"/>
      <c r="AG328" s="235"/>
      <c r="AH328" s="247"/>
      <c r="AI328" s="251"/>
      <c r="AK328" s="240"/>
    </row>
    <row r="329" spans="1:37" x14ac:dyDescent="0.2">
      <c r="A329" s="248"/>
      <c r="B329" s="234"/>
      <c r="C329" s="235"/>
      <c r="D329" s="235"/>
      <c r="E329" s="235"/>
      <c r="F329" s="236"/>
      <c r="G329" s="239"/>
      <c r="H329" s="248"/>
      <c r="I329" s="234"/>
      <c r="J329" s="235"/>
      <c r="K329" s="235"/>
      <c r="L329" s="235"/>
      <c r="M329" s="236"/>
      <c r="N329" s="239"/>
      <c r="O329" s="253"/>
      <c r="P329" s="234"/>
      <c r="Q329" s="235"/>
      <c r="R329" s="235"/>
      <c r="S329" s="235"/>
      <c r="T329" s="236"/>
      <c r="U329" s="239"/>
      <c r="V329" s="254"/>
      <c r="W329" s="234"/>
      <c r="X329" s="235"/>
      <c r="Y329" s="235"/>
      <c r="Z329" s="235"/>
      <c r="AA329" s="247"/>
      <c r="AB329" s="251"/>
      <c r="AC329" s="520"/>
      <c r="AD329" s="234" t="s">
        <v>232</v>
      </c>
      <c r="AE329" s="235"/>
      <c r="AF329" s="235"/>
      <c r="AG329" s="235"/>
      <c r="AH329" s="247"/>
      <c r="AI329" s="251"/>
      <c r="AK329" s="240"/>
    </row>
    <row r="330" spans="1:37" x14ac:dyDescent="0.2">
      <c r="A330" s="248"/>
      <c r="B330" s="234"/>
      <c r="C330" s="235"/>
      <c r="D330" s="235"/>
      <c r="E330" s="235"/>
      <c r="F330" s="236"/>
      <c r="G330" s="239"/>
      <c r="H330" s="248"/>
      <c r="I330" s="234"/>
      <c r="J330" s="235"/>
      <c r="K330" s="235"/>
      <c r="L330" s="235"/>
      <c r="M330" s="236"/>
      <c r="N330" s="239"/>
      <c r="O330" s="253"/>
      <c r="P330" s="234"/>
      <c r="Q330" s="235"/>
      <c r="R330" s="235"/>
      <c r="S330" s="235"/>
      <c r="T330" s="236"/>
      <c r="U330" s="239"/>
      <c r="V330" s="254"/>
      <c r="W330" s="234"/>
      <c r="X330" s="235"/>
      <c r="Y330" s="235"/>
      <c r="Z330" s="235"/>
      <c r="AA330" s="247">
        <f>Y330+Z330</f>
        <v>0</v>
      </c>
      <c r="AB330" s="239"/>
      <c r="AC330" s="520"/>
      <c r="AD330" s="234" t="s">
        <v>233</v>
      </c>
      <c r="AE330" s="235"/>
      <c r="AF330" s="235"/>
      <c r="AG330" s="235"/>
      <c r="AH330" s="247"/>
      <c r="AI330" s="239"/>
      <c r="AK330" s="240"/>
    </row>
    <row r="331" spans="1:37" x14ac:dyDescent="0.2">
      <c r="A331" s="248"/>
      <c r="B331" s="234"/>
      <c r="C331" s="235"/>
      <c r="D331" s="235"/>
      <c r="E331" s="235"/>
      <c r="F331" s="236"/>
      <c r="G331" s="239"/>
      <c r="H331" s="248"/>
      <c r="I331" s="234"/>
      <c r="J331" s="235"/>
      <c r="K331" s="235"/>
      <c r="L331" s="235"/>
      <c r="M331" s="236"/>
      <c r="N331" s="239"/>
      <c r="O331" s="253"/>
      <c r="P331" s="234"/>
      <c r="Q331" s="235"/>
      <c r="R331" s="235"/>
      <c r="S331" s="235"/>
      <c r="T331" s="236"/>
      <c r="U331" s="239"/>
      <c r="V331" s="254"/>
      <c r="W331" s="234"/>
      <c r="X331" s="235"/>
      <c r="Y331" s="235"/>
      <c r="Z331" s="235"/>
      <c r="AA331" s="247">
        <f>Y331+Z331</f>
        <v>0</v>
      </c>
      <c r="AB331" s="239"/>
      <c r="AC331" s="520"/>
      <c r="AD331" s="234" t="s">
        <v>234</v>
      </c>
      <c r="AE331" s="235"/>
      <c r="AF331" s="235"/>
      <c r="AG331" s="235"/>
      <c r="AH331" s="247"/>
      <c r="AI331" s="239"/>
      <c r="AK331" s="240"/>
    </row>
    <row r="332" spans="1:37" x14ac:dyDescent="0.2">
      <c r="A332" s="248"/>
      <c r="B332" s="234"/>
      <c r="C332" s="235"/>
      <c r="D332" s="235"/>
      <c r="E332" s="235"/>
      <c r="F332" s="236"/>
      <c r="G332" s="239"/>
      <c r="H332" s="248"/>
      <c r="I332" s="234"/>
      <c r="J332" s="235"/>
      <c r="K332" s="235"/>
      <c r="L332" s="235"/>
      <c r="M332" s="236"/>
      <c r="N332" s="239"/>
      <c r="O332" s="253"/>
      <c r="P332" s="234"/>
      <c r="Q332" s="235"/>
      <c r="R332" s="235"/>
      <c r="S332" s="235"/>
      <c r="T332" s="236"/>
      <c r="U332" s="239"/>
      <c r="V332" s="254"/>
      <c r="W332" s="234"/>
      <c r="X332" s="235"/>
      <c r="Y332" s="235"/>
      <c r="Z332" s="235"/>
      <c r="AA332" s="247"/>
      <c r="AB332" s="239"/>
      <c r="AC332" s="520"/>
      <c r="AD332" s="234" t="s">
        <v>235</v>
      </c>
      <c r="AE332" s="235"/>
      <c r="AF332" s="235"/>
      <c r="AG332" s="235"/>
      <c r="AH332" s="247"/>
      <c r="AI332" s="239"/>
      <c r="AK332" s="240"/>
    </row>
    <row r="333" spans="1:37" x14ac:dyDescent="0.2">
      <c r="A333" s="248"/>
      <c r="B333" s="234"/>
      <c r="C333" s="235"/>
      <c r="D333" s="235"/>
      <c r="E333" s="235"/>
      <c r="F333" s="236"/>
      <c r="G333" s="239"/>
      <c r="H333" s="248"/>
      <c r="I333" s="234"/>
      <c r="J333" s="235"/>
      <c r="K333" s="235"/>
      <c r="L333" s="235"/>
      <c r="M333" s="236"/>
      <c r="N333" s="239"/>
      <c r="O333" s="253"/>
      <c r="P333" s="234"/>
      <c r="Q333" s="235"/>
      <c r="R333" s="235"/>
      <c r="S333" s="235"/>
      <c r="T333" s="236"/>
      <c r="U333" s="239"/>
      <c r="V333" s="254"/>
      <c r="W333" s="234"/>
      <c r="X333" s="235"/>
      <c r="Y333" s="235"/>
      <c r="Z333" s="235"/>
      <c r="AA333" s="247"/>
      <c r="AB333" s="239"/>
      <c r="AC333" s="521"/>
      <c r="AD333" s="234" t="s">
        <v>236</v>
      </c>
      <c r="AE333" s="235"/>
      <c r="AF333" s="235"/>
      <c r="AG333" s="235"/>
      <c r="AH333" s="247"/>
      <c r="AI333" s="239"/>
      <c r="AK333" s="240"/>
    </row>
    <row r="334" spans="1:37" x14ac:dyDescent="0.2">
      <c r="A334" s="248"/>
      <c r="B334" s="234"/>
      <c r="C334" s="235"/>
      <c r="D334" s="235"/>
      <c r="E334" s="235"/>
      <c r="F334" s="236"/>
      <c r="G334" s="239"/>
      <c r="H334" s="248"/>
      <c r="I334" s="234"/>
      <c r="J334" s="235"/>
      <c r="K334" s="235"/>
      <c r="L334" s="235"/>
      <c r="M334" s="236"/>
      <c r="N334" s="239"/>
      <c r="O334" s="253"/>
      <c r="P334" s="234"/>
      <c r="Q334" s="235"/>
      <c r="R334" s="235"/>
      <c r="S334" s="235"/>
      <c r="T334" s="236"/>
      <c r="U334" s="239"/>
      <c r="V334" s="254"/>
      <c r="W334" s="234"/>
      <c r="X334" s="235"/>
      <c r="Y334" s="235"/>
      <c r="Z334" s="235"/>
      <c r="AA334" s="247"/>
      <c r="AB334" s="239"/>
      <c r="AC334" s="254"/>
      <c r="AD334" s="234"/>
      <c r="AE334" s="235"/>
      <c r="AF334" s="235"/>
      <c r="AG334" s="235"/>
      <c r="AH334" s="247"/>
      <c r="AI334" s="239"/>
      <c r="AK334" s="240"/>
    </row>
    <row r="335" spans="1:37" x14ac:dyDescent="0.2">
      <c r="A335" s="248"/>
      <c r="B335" s="234"/>
      <c r="C335" s="235"/>
      <c r="D335" s="235"/>
      <c r="E335" s="235"/>
      <c r="F335" s="236"/>
      <c r="G335" s="239"/>
      <c r="H335" s="248"/>
      <c r="I335" s="234"/>
      <c r="J335" s="235"/>
      <c r="K335" s="235"/>
      <c r="L335" s="235"/>
      <c r="M335" s="236"/>
      <c r="N335" s="239"/>
      <c r="O335" s="253"/>
      <c r="P335" s="234"/>
      <c r="Q335" s="235"/>
      <c r="R335" s="235"/>
      <c r="S335" s="235"/>
      <c r="T335" s="236"/>
      <c r="U335" s="239"/>
      <c r="V335" s="254"/>
      <c r="W335" s="234"/>
      <c r="X335" s="235"/>
      <c r="Y335" s="235"/>
      <c r="Z335" s="235"/>
      <c r="AA335" s="247"/>
      <c r="AB335" s="239"/>
      <c r="AC335" s="254"/>
      <c r="AD335" s="234"/>
      <c r="AE335" s="235"/>
      <c r="AF335" s="235"/>
      <c r="AG335" s="235"/>
      <c r="AH335" s="247"/>
      <c r="AI335" s="239"/>
      <c r="AK335" s="240"/>
    </row>
    <row r="336" spans="1:37" x14ac:dyDescent="0.2">
      <c r="A336" s="234"/>
      <c r="B336" s="234"/>
      <c r="C336" s="220" t="s">
        <v>879</v>
      </c>
      <c r="D336" s="236">
        <f>SUM(D10:D333)</f>
        <v>19930.491223472265</v>
      </c>
      <c r="E336" s="236">
        <f>SUM(E10:E333)</f>
        <v>17822.412999999997</v>
      </c>
      <c r="F336" s="236">
        <f>SUM(F10:F333)</f>
        <v>37752.90422347228</v>
      </c>
      <c r="G336" s="236">
        <f>SUM(G10:G333)</f>
        <v>19930.491223472265</v>
      </c>
      <c r="H336" s="234"/>
      <c r="I336" s="234"/>
      <c r="J336" s="220" t="s">
        <v>879</v>
      </c>
      <c r="K336" s="236">
        <f>SUM(K10:K333)</f>
        <v>388.8395500000002</v>
      </c>
      <c r="L336" s="236">
        <f>SUM(L10:L333)</f>
        <v>385.62599999999981</v>
      </c>
      <c r="M336" s="236">
        <f>SUM(M10:M333)</f>
        <v>774.46555000000012</v>
      </c>
      <c r="N336" s="236">
        <f>SUM(N10:N333)</f>
        <v>388.83955000000014</v>
      </c>
      <c r="O336" s="234"/>
      <c r="P336" s="234"/>
      <c r="Q336" s="220" t="s">
        <v>879</v>
      </c>
      <c r="R336" s="236">
        <f>SUM(R10:R333)</f>
        <v>10343.555933333369</v>
      </c>
      <c r="S336" s="236">
        <f>SUM(S10:S333)</f>
        <v>10258.071999999976</v>
      </c>
      <c r="T336" s="236">
        <f>SUM(T10:T333)</f>
        <v>20601.62793333337</v>
      </c>
      <c r="U336" s="236">
        <f>SUM(U10:U333)</f>
        <v>10343.555933333368</v>
      </c>
      <c r="V336" s="234"/>
      <c r="W336" s="234"/>
      <c r="X336" s="220" t="s">
        <v>879</v>
      </c>
      <c r="Y336" s="236">
        <f>SUM(Y10:Y333)</f>
        <v>0</v>
      </c>
      <c r="Z336" s="236">
        <f>SUM(Z10:Z333)</f>
        <v>0</v>
      </c>
      <c r="AA336" s="236">
        <f>SUM(AA10:AA333)</f>
        <v>0</v>
      </c>
      <c r="AB336" s="236">
        <f>SUM(AB10:AB333)</f>
        <v>0</v>
      </c>
      <c r="AC336" s="234"/>
      <c r="AD336" s="234"/>
      <c r="AE336" s="220" t="s">
        <v>879</v>
      </c>
      <c r="AF336" s="236">
        <f>SUM(AF10:AF333)</f>
        <v>0</v>
      </c>
      <c r="AG336" s="236">
        <f>SUM(AG10:AG333)</f>
        <v>0</v>
      </c>
      <c r="AH336" s="236">
        <f>SUM(AH10:AH333)</f>
        <v>0</v>
      </c>
      <c r="AI336" s="236">
        <f>SUM(AI10:AI333)</f>
        <v>0</v>
      </c>
      <c r="AJ336" s="208" t="s">
        <v>0</v>
      </c>
      <c r="AK336" s="240">
        <f>SUM(AK10:AK335)</f>
        <v>30662.886706805632</v>
      </c>
    </row>
    <row r="337" spans="1:37" x14ac:dyDescent="0.2">
      <c r="A337" s="522" t="s">
        <v>880</v>
      </c>
      <c r="B337" s="522"/>
      <c r="C337" s="522"/>
      <c r="D337" s="255">
        <f>E337/E336</f>
        <v>1.1182824246903205</v>
      </c>
      <c r="E337" s="256">
        <f>F336-E336</f>
        <v>19930.491223472283</v>
      </c>
      <c r="F337" s="257"/>
      <c r="G337" s="257"/>
      <c r="H337" s="522" t="s">
        <v>880</v>
      </c>
      <c r="I337" s="522"/>
      <c r="J337" s="522"/>
      <c r="K337" s="255">
        <f>L337/L336</f>
        <v>1.0083333333333346</v>
      </c>
      <c r="L337" s="256">
        <f>M336-L336</f>
        <v>388.83955000000032</v>
      </c>
      <c r="M337" s="257"/>
      <c r="N337" s="257"/>
      <c r="O337" s="522" t="s">
        <v>880</v>
      </c>
      <c r="P337" s="522"/>
      <c r="Q337" s="522"/>
      <c r="R337" s="255">
        <f>S337/S336</f>
        <v>1.0083333333333415</v>
      </c>
      <c r="S337" s="256">
        <f>T336-S336</f>
        <v>10343.555933333393</v>
      </c>
      <c r="T337" s="257"/>
      <c r="U337" s="257"/>
      <c r="V337" s="258"/>
      <c r="W337" s="258"/>
      <c r="X337" s="258"/>
      <c r="Y337" s="255" t="e">
        <f>Z337/Z336</f>
        <v>#DIV/0!</v>
      </c>
      <c r="Z337" s="256">
        <f>AA336-Z336</f>
        <v>0</v>
      </c>
      <c r="AA337" s="257"/>
      <c r="AB337" s="257"/>
      <c r="AC337" s="258"/>
      <c r="AD337" s="258"/>
      <c r="AE337" s="258"/>
      <c r="AF337" s="255" t="e">
        <f>AG337/AG336</f>
        <v>#DIV/0!</v>
      </c>
      <c r="AG337" s="256">
        <f>AH336-AG336</f>
        <v>0</v>
      </c>
      <c r="AH337" s="257"/>
      <c r="AI337" s="257"/>
    </row>
    <row r="338" spans="1:37" x14ac:dyDescent="0.2">
      <c r="S338" s="208" t="b">
        <f>S336=Q7</f>
        <v>1</v>
      </c>
    </row>
    <row r="339" spans="1:37" x14ac:dyDescent="0.2">
      <c r="E339" s="259">
        <f>C7-C8</f>
        <v>17822.412999999997</v>
      </c>
      <c r="S339" s="213">
        <f>Q7-S336</f>
        <v>2.3646862246096134E-11</v>
      </c>
    </row>
    <row r="340" spans="1:37" x14ac:dyDescent="0.2">
      <c r="B340" s="208" t="s">
        <v>881</v>
      </c>
      <c r="C340" s="269">
        <f>C7+J7+Q7+X7+AE7</f>
        <v>39722.396999999997</v>
      </c>
      <c r="D340" s="261"/>
      <c r="E340" s="210"/>
    </row>
    <row r="341" spans="1:37" x14ac:dyDescent="0.2">
      <c r="B341" s="208" t="s">
        <v>882</v>
      </c>
      <c r="C341" s="260">
        <f>E337+L337+S337+Z337+AG337</f>
        <v>30662.886706805679</v>
      </c>
      <c r="D341" s="261">
        <f>G336+N336</f>
        <v>20319.330773472266</v>
      </c>
      <c r="E341" s="261"/>
    </row>
    <row r="342" spans="1:37" x14ac:dyDescent="0.2">
      <c r="B342" s="208" t="s">
        <v>883</v>
      </c>
      <c r="C342" s="262">
        <f>C341/C340</f>
        <v>0.77192941570987472</v>
      </c>
      <c r="D342" s="262"/>
      <c r="F342" s="262"/>
    </row>
    <row r="343" spans="1:37" x14ac:dyDescent="0.2">
      <c r="B343" s="208" t="s">
        <v>898</v>
      </c>
      <c r="C343" s="270">
        <f>C340*1.2</f>
        <v>47666.876399999994</v>
      </c>
    </row>
    <row r="345" spans="1:37" x14ac:dyDescent="0.2">
      <c r="D345" s="208">
        <v>2022</v>
      </c>
      <c r="E345" s="208">
        <v>2023</v>
      </c>
      <c r="F345" s="208">
        <v>2024</v>
      </c>
      <c r="G345" s="208">
        <v>2025</v>
      </c>
      <c r="H345" s="208">
        <v>2026</v>
      </c>
      <c r="I345" s="208">
        <v>2027</v>
      </c>
      <c r="J345" s="208">
        <v>2028</v>
      </c>
      <c r="K345" s="208">
        <v>2029</v>
      </c>
      <c r="L345" s="208">
        <v>2030</v>
      </c>
      <c r="M345" s="208">
        <v>2031</v>
      </c>
      <c r="N345" s="208">
        <v>2032</v>
      </c>
      <c r="O345" s="208">
        <v>2033</v>
      </c>
      <c r="P345" s="208">
        <v>2034</v>
      </c>
      <c r="Q345" s="208">
        <v>2035</v>
      </c>
      <c r="R345" s="208">
        <v>2036</v>
      </c>
      <c r="S345" s="208">
        <v>2037</v>
      </c>
      <c r="T345" s="208">
        <v>2038</v>
      </c>
      <c r="U345" s="208">
        <v>2039</v>
      </c>
      <c r="V345" s="208">
        <v>2039</v>
      </c>
      <c r="W345" s="208">
        <v>2040</v>
      </c>
      <c r="X345" s="208">
        <v>2041</v>
      </c>
      <c r="Y345" s="208">
        <v>2042</v>
      </c>
      <c r="Z345" s="208">
        <v>2043</v>
      </c>
      <c r="AA345" s="208">
        <v>2044</v>
      </c>
      <c r="AB345" s="208">
        <v>2045</v>
      </c>
      <c r="AC345" s="208">
        <v>2046</v>
      </c>
      <c r="AD345" s="208">
        <v>2047</v>
      </c>
      <c r="AE345" s="208" t="s">
        <v>884</v>
      </c>
    </row>
    <row r="346" spans="1:37" x14ac:dyDescent="0.2">
      <c r="C346" s="208" t="s">
        <v>13</v>
      </c>
      <c r="D346" s="261" t="s">
        <v>885</v>
      </c>
      <c r="E346" s="261">
        <f>G33</f>
        <v>0</v>
      </c>
      <c r="F346" s="261">
        <f>G45</f>
        <v>0</v>
      </c>
      <c r="G346" s="261">
        <f>G57</f>
        <v>5549.1850591666671</v>
      </c>
      <c r="H346" s="261">
        <f>G69</f>
        <v>4594.2939794258327</v>
      </c>
      <c r="I346" s="261">
        <f>G81</f>
        <v>2305.0989224914119</v>
      </c>
      <c r="J346" s="261">
        <f>G93</f>
        <v>1996.0353798110002</v>
      </c>
      <c r="K346" s="261">
        <f>G105</f>
        <v>1686.9718371305885</v>
      </c>
      <c r="L346" s="261">
        <f>G117</f>
        <v>1377.9082944501768</v>
      </c>
      <c r="M346" s="261">
        <f>G129</f>
        <v>1068.844751769765</v>
      </c>
      <c r="N346" s="261">
        <f>G141</f>
        <v>759.78120908935307</v>
      </c>
      <c r="O346" s="261">
        <f>G153</f>
        <v>450.7176664089402</v>
      </c>
      <c r="P346" s="261">
        <f>G165</f>
        <v>141.65412372852731</v>
      </c>
      <c r="Q346" s="261">
        <f>G177</f>
        <v>0</v>
      </c>
      <c r="R346" s="240">
        <f>AK189</f>
        <v>0</v>
      </c>
      <c r="S346" s="240">
        <f>AK213</f>
        <v>0</v>
      </c>
      <c r="T346" s="240"/>
      <c r="U346" s="240"/>
      <c r="V346" s="261">
        <f>AK237</f>
        <v>0</v>
      </c>
      <c r="W346" s="261">
        <f>AK249</f>
        <v>0</v>
      </c>
      <c r="X346" s="261">
        <f>AK261</f>
        <v>0</v>
      </c>
      <c r="Y346" s="240">
        <f>AK273</f>
        <v>0</v>
      </c>
      <c r="Z346" s="240">
        <f>AK285</f>
        <v>0</v>
      </c>
      <c r="AA346" s="261">
        <f>AK297</f>
        <v>0</v>
      </c>
      <c r="AB346" s="240">
        <f>AK309</f>
        <v>0</v>
      </c>
      <c r="AC346" s="261">
        <f>AK321</f>
        <v>0</v>
      </c>
      <c r="AD346" s="261">
        <f>AQ249</f>
        <v>0</v>
      </c>
      <c r="AE346" s="261">
        <f>SUM(D346:AD346)</f>
        <v>19930.491223472265</v>
      </c>
      <c r="AF346" s="240" t="b">
        <f>AK336=AE346</f>
        <v>0</v>
      </c>
      <c r="AG346" s="240"/>
      <c r="AH346" s="261"/>
      <c r="AJ346" s="261">
        <f>SUM(D346:U346)</f>
        <v>19930.491223472265</v>
      </c>
      <c r="AK346" s="261" t="b">
        <f>AJ346=G336</f>
        <v>1</v>
      </c>
    </row>
    <row r="347" spans="1:37" x14ac:dyDescent="0.2">
      <c r="D347" s="208" t="s">
        <v>886</v>
      </c>
      <c r="E347" s="263">
        <f>N33</f>
        <v>0</v>
      </c>
      <c r="F347" s="263">
        <f>N45</f>
        <v>0</v>
      </c>
      <c r="G347" s="263">
        <f>N57+U57</f>
        <v>73.590294999999998</v>
      </c>
      <c r="H347" s="263">
        <f>N69+U69</f>
        <v>2023.4598483333336</v>
      </c>
      <c r="I347" s="263">
        <f>N81+U81</f>
        <v>1810.5858883333349</v>
      </c>
      <c r="J347" s="263">
        <f>N93+U93</f>
        <v>1597.7119283333357</v>
      </c>
      <c r="K347" s="263">
        <f>N105+U105</f>
        <v>1384.8379683333362</v>
      </c>
      <c r="L347" s="263">
        <f>N117+U117</f>
        <v>1171.9640083333372</v>
      </c>
      <c r="M347" s="263">
        <f>N129+U129</f>
        <v>959.09004833333813</v>
      </c>
      <c r="N347" s="263">
        <f>N141+U141</f>
        <v>746.21608833333858</v>
      </c>
      <c r="O347" s="263">
        <f>N153+U153</f>
        <v>533.34212833333822</v>
      </c>
      <c r="P347" s="263">
        <f>N165+U165</f>
        <v>320.4681683333381</v>
      </c>
      <c r="Q347" s="263">
        <f>N177+U177</f>
        <v>111.12911333333794</v>
      </c>
      <c r="AJ347" s="261">
        <f>SUM(D347:U347)</f>
        <v>10732.39548333337</v>
      </c>
      <c r="AK347" s="208" t="b">
        <f>N336+U336=AJ347</f>
        <v>1</v>
      </c>
    </row>
    <row r="348" spans="1:37" x14ac:dyDescent="0.2">
      <c r="AJ348" s="261">
        <f>AJ346+AJ347</f>
        <v>30662.886706805635</v>
      </c>
    </row>
    <row r="350" spans="1:37" x14ac:dyDescent="0.2">
      <c r="C350" s="259">
        <f>C340+'% 2 кот'!C340+'% 3 кот'!C340+'% 4 кот '!C340</f>
        <v>95995.746333333329</v>
      </c>
    </row>
    <row r="351" spans="1:37" x14ac:dyDescent="0.2">
      <c r="C351" s="259">
        <f>C350*1.2</f>
        <v>115194.89559999999</v>
      </c>
    </row>
    <row r="352" spans="1:37" x14ac:dyDescent="0.2">
      <c r="F352" s="208" t="s">
        <v>887</v>
      </c>
      <c r="G352" s="264">
        <v>0.18</v>
      </c>
    </row>
    <row r="353" spans="3:8" x14ac:dyDescent="0.2">
      <c r="E353" s="208">
        <v>2025</v>
      </c>
      <c r="F353" s="261">
        <v>6747.3409208333314</v>
      </c>
      <c r="G353" s="263">
        <v>7422.0750129166645</v>
      </c>
      <c r="H353" s="261">
        <v>-674.73409208333305</v>
      </c>
    </row>
    <row r="354" spans="3:8" x14ac:dyDescent="0.2">
      <c r="C354" s="270">
        <v>95995.8</v>
      </c>
      <c r="E354" s="208" t="s">
        <v>888</v>
      </c>
      <c r="F354" s="265">
        <v>36795.522107500001</v>
      </c>
      <c r="G354" s="265">
        <v>40475.074318249986</v>
      </c>
      <c r="H354" s="261">
        <v>-3679.5522107499855</v>
      </c>
    </row>
    <row r="355" spans="3:8" x14ac:dyDescent="0.2">
      <c r="C355" s="270">
        <f>C354*1.2</f>
        <v>115194.96</v>
      </c>
      <c r="E355" s="265"/>
      <c r="F355" s="263"/>
      <c r="G355" s="261"/>
    </row>
    <row r="359" spans="3:8" x14ac:dyDescent="0.2">
      <c r="C359" s="259">
        <f>C343+'% 2 кот'!C343+'% 3 кот'!C343+'% 4 кот '!C343</f>
        <v>115194.89559999997</v>
      </c>
    </row>
  </sheetData>
  <mergeCells count="101">
    <mergeCell ref="AC322:AC333"/>
    <mergeCell ref="A337:C337"/>
    <mergeCell ref="H337:J337"/>
    <mergeCell ref="O337:Q337"/>
    <mergeCell ref="O274:O285"/>
    <mergeCell ref="V274:V285"/>
    <mergeCell ref="AC274:AC285"/>
    <mergeCell ref="AC286:AC297"/>
    <mergeCell ref="AC298:AC309"/>
    <mergeCell ref="AC310:AC321"/>
    <mergeCell ref="V238:V249"/>
    <mergeCell ref="AC238:AC249"/>
    <mergeCell ref="V250:V261"/>
    <mergeCell ref="AC250:AC261"/>
    <mergeCell ref="V262:V273"/>
    <mergeCell ref="AC262:AC273"/>
    <mergeCell ref="V202:V213"/>
    <mergeCell ref="AC202:AC213"/>
    <mergeCell ref="V214:V225"/>
    <mergeCell ref="AC214:AC225"/>
    <mergeCell ref="V226:V237"/>
    <mergeCell ref="AC226:AC237"/>
    <mergeCell ref="O178:O189"/>
    <mergeCell ref="V178:V189"/>
    <mergeCell ref="AC178:AC189"/>
    <mergeCell ref="O190:O201"/>
    <mergeCell ref="V190:V201"/>
    <mergeCell ref="AC190:AC201"/>
    <mergeCell ref="A154:A165"/>
    <mergeCell ref="H154:H165"/>
    <mergeCell ref="O154:O165"/>
    <mergeCell ref="V154:V165"/>
    <mergeCell ref="AC154:AC165"/>
    <mergeCell ref="O166:O177"/>
    <mergeCell ref="V166:V177"/>
    <mergeCell ref="AC166:AC177"/>
    <mergeCell ref="A130:A141"/>
    <mergeCell ref="H130:H141"/>
    <mergeCell ref="O130:O141"/>
    <mergeCell ref="V130:V141"/>
    <mergeCell ref="AC130:AC141"/>
    <mergeCell ref="A142:A153"/>
    <mergeCell ref="H142:H153"/>
    <mergeCell ref="O142:O153"/>
    <mergeCell ref="V142:V153"/>
    <mergeCell ref="AC142:AC153"/>
    <mergeCell ref="A106:A117"/>
    <mergeCell ref="H106:H117"/>
    <mergeCell ref="O106:O117"/>
    <mergeCell ref="V106:V117"/>
    <mergeCell ref="AC106:AC117"/>
    <mergeCell ref="A118:A129"/>
    <mergeCell ref="H118:H129"/>
    <mergeCell ref="O118:O129"/>
    <mergeCell ref="V118:V129"/>
    <mergeCell ref="AC118:AC129"/>
    <mergeCell ref="A82:A93"/>
    <mergeCell ref="H82:H93"/>
    <mergeCell ref="O82:O93"/>
    <mergeCell ref="V82:V93"/>
    <mergeCell ref="AC82:AC93"/>
    <mergeCell ref="A94:A105"/>
    <mergeCell ref="H94:H105"/>
    <mergeCell ref="O94:O105"/>
    <mergeCell ref="V94:V105"/>
    <mergeCell ref="AC94:AC105"/>
    <mergeCell ref="A58:A69"/>
    <mergeCell ref="H58:H69"/>
    <mergeCell ref="O58:O69"/>
    <mergeCell ref="V58:V69"/>
    <mergeCell ref="AC58:AC69"/>
    <mergeCell ref="A70:A81"/>
    <mergeCell ref="H70:H81"/>
    <mergeCell ref="O70:O81"/>
    <mergeCell ref="V70:V81"/>
    <mergeCell ref="AC70:AC81"/>
    <mergeCell ref="A34:A45"/>
    <mergeCell ref="H34:H45"/>
    <mergeCell ref="O34:O45"/>
    <mergeCell ref="V34:V45"/>
    <mergeCell ref="AC34:AC45"/>
    <mergeCell ref="A46:A57"/>
    <mergeCell ref="H46:H57"/>
    <mergeCell ref="O46:O57"/>
    <mergeCell ref="V46:V57"/>
    <mergeCell ref="AC46:AC57"/>
    <mergeCell ref="V10:V21"/>
    <mergeCell ref="AC10:AC21"/>
    <mergeCell ref="A22:A33"/>
    <mergeCell ref="H22:H33"/>
    <mergeCell ref="O22:O33"/>
    <mergeCell ref="V22:V33"/>
    <mergeCell ref="AC22:AC33"/>
    <mergeCell ref="A6:F6"/>
    <mergeCell ref="H6:M6"/>
    <mergeCell ref="O6:T6"/>
    <mergeCell ref="A7:B7"/>
    <mergeCell ref="A8:B8"/>
    <mergeCell ref="A10:A21"/>
    <mergeCell ref="H10:H21"/>
    <mergeCell ref="O10:O2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L354"/>
  <sheetViews>
    <sheetView topLeftCell="D1" workbookViewId="0">
      <selection activeCell="D341" sqref="D341"/>
    </sheetView>
  </sheetViews>
  <sheetFormatPr defaultRowHeight="12" x14ac:dyDescent="0.2"/>
  <cols>
    <col min="1" max="1" width="6.42578125" style="208" customWidth="1"/>
    <col min="2" max="2" width="20.7109375" style="208" customWidth="1"/>
    <col min="3" max="3" width="18.5703125" style="208" customWidth="1"/>
    <col min="4" max="4" width="11.7109375" style="208" customWidth="1"/>
    <col min="5" max="5" width="14.42578125" style="208" customWidth="1"/>
    <col min="6" max="6" width="13.42578125" style="208" customWidth="1"/>
    <col min="7" max="7" width="10.7109375" style="208" customWidth="1"/>
    <col min="8" max="8" width="9.85546875" style="208" bestFit="1" customWidth="1"/>
    <col min="9" max="9" width="10.7109375" style="208" customWidth="1"/>
    <col min="10" max="10" width="11.5703125" style="208" customWidth="1"/>
    <col min="11" max="11" width="12.85546875" style="208" customWidth="1"/>
    <col min="12" max="12" width="14.42578125" style="208" customWidth="1"/>
    <col min="13" max="13" width="12.85546875" style="208" customWidth="1"/>
    <col min="14" max="14" width="11.5703125" style="208" bestFit="1" customWidth="1"/>
    <col min="15" max="15" width="9.28515625" style="208" customWidth="1"/>
    <col min="16" max="16" width="20.7109375" style="208" customWidth="1"/>
    <col min="17" max="17" width="12.28515625" style="208" customWidth="1"/>
    <col min="18" max="18" width="12.85546875" style="208" customWidth="1"/>
    <col min="19" max="19" width="14.42578125" style="208" customWidth="1"/>
    <col min="20" max="20" width="12.85546875" style="208" customWidth="1"/>
    <col min="21" max="21" width="11.140625" style="208" customWidth="1"/>
    <col min="22" max="22" width="9.28515625" style="208" hidden="1" customWidth="1"/>
    <col min="23" max="23" width="20.7109375" style="208" hidden="1" customWidth="1"/>
    <col min="24" max="24" width="11.5703125" style="208" hidden="1" customWidth="1"/>
    <col min="25" max="25" width="12.85546875" style="208" hidden="1" customWidth="1"/>
    <col min="26" max="26" width="14.42578125" style="208" hidden="1" customWidth="1"/>
    <col min="27" max="27" width="12.85546875" style="208" hidden="1" customWidth="1"/>
    <col min="28" max="28" width="11.140625" style="208" hidden="1" customWidth="1"/>
    <col min="29" max="29" width="9.28515625" style="208" hidden="1" customWidth="1"/>
    <col min="30" max="30" width="20.7109375" style="208" hidden="1" customWidth="1"/>
    <col min="31" max="31" width="11.5703125" style="208" hidden="1" customWidth="1"/>
    <col min="32" max="32" width="12.85546875" style="208" hidden="1" customWidth="1"/>
    <col min="33" max="33" width="14.42578125" style="208" hidden="1" customWidth="1"/>
    <col min="34" max="34" width="12.85546875" style="208" hidden="1" customWidth="1"/>
    <col min="35" max="35" width="11.140625" style="208" hidden="1" customWidth="1"/>
    <col min="36" max="36" width="9.140625" style="208"/>
    <col min="37" max="37" width="16.7109375" style="208" bestFit="1" customWidth="1"/>
    <col min="38" max="16384" width="9.140625" style="208"/>
  </cols>
  <sheetData>
    <row r="1" spans="1:38" x14ac:dyDescent="0.2">
      <c r="D1" s="208" t="s">
        <v>889</v>
      </c>
    </row>
    <row r="2" spans="1:38" x14ac:dyDescent="0.2">
      <c r="P2" s="208" t="b">
        <f>C7+J7+Q7=[1]ИП_2!G8</f>
        <v>0</v>
      </c>
    </row>
    <row r="3" spans="1:38" s="209" customFormat="1" ht="15" customHeight="1" x14ac:dyDescent="0.2">
      <c r="A3" s="523" t="s">
        <v>890</v>
      </c>
      <c r="B3" s="523"/>
      <c r="C3" s="209" t="s">
        <v>891</v>
      </c>
      <c r="H3" s="209" t="s">
        <v>892</v>
      </c>
      <c r="P3" s="209" t="str">
        <f>H3</f>
        <v>Расчет процентов по займу. Тепловые сети котельной №2</v>
      </c>
    </row>
    <row r="4" spans="1:38" ht="18" customHeight="1" x14ac:dyDescent="0.2">
      <c r="A4" s="210" t="s">
        <v>860</v>
      </c>
      <c r="B4" s="266">
        <f>'[1]План меропр_2'!I28</f>
        <v>2025</v>
      </c>
      <c r="C4" s="208" t="s">
        <v>861</v>
      </c>
      <c r="D4" s="212"/>
      <c r="E4" s="213"/>
      <c r="H4" s="210" t="s">
        <v>862</v>
      </c>
      <c r="I4" s="266">
        <f>'[1]План меропр_2'!I28</f>
        <v>2025</v>
      </c>
      <c r="J4" s="208" t="s">
        <v>479</v>
      </c>
      <c r="O4" s="210" t="s">
        <v>863</v>
      </c>
      <c r="P4" s="210">
        <f>'[1]План меропр_2'!I31</f>
        <v>2026</v>
      </c>
      <c r="Q4" s="208" t="str">
        <f>J4</f>
        <v>тепловые сети</v>
      </c>
      <c r="V4" s="210" t="str">
        <f>'[2]ИНВЕСТ '!B16</f>
        <v>5 этап (рекоснрукция оборудования БМК по истечении СПИ)</v>
      </c>
      <c r="X4" s="210"/>
      <c r="AC4" s="210" t="str">
        <f>'[2]ИНВЕСТ '!B17</f>
        <v>6 этап (рекоснрукция тепловых сетей и сетей гвс в связи с истечением СПИ)</v>
      </c>
      <c r="AE4" s="210"/>
      <c r="AK4" s="213" t="b">
        <f>C7+J7+Q7='[1]План меропр_2'!L24</f>
        <v>0</v>
      </c>
      <c r="AL4" s="208" t="b">
        <f>AK4='[3]Мероприятия упрощенно'!M8</f>
        <v>0</v>
      </c>
    </row>
    <row r="5" spans="1:38" x14ac:dyDescent="0.2">
      <c r="A5" s="210"/>
      <c r="E5" s="213"/>
      <c r="F5" s="210" t="str">
        <f>'[1]%_1'!F5</f>
        <v>тыс. руб.</v>
      </c>
      <c r="H5" s="210"/>
      <c r="N5" s="210" t="str">
        <f>F5</f>
        <v>тыс. руб.</v>
      </c>
      <c r="P5" s="210"/>
      <c r="U5" s="210" t="str">
        <f>N5</f>
        <v>тыс. руб.</v>
      </c>
      <c r="X5" s="210"/>
      <c r="AE5" s="210"/>
      <c r="AK5" s="213"/>
    </row>
    <row r="6" spans="1:38" x14ac:dyDescent="0.2">
      <c r="A6" s="516" t="s">
        <v>865</v>
      </c>
      <c r="B6" s="517"/>
      <c r="C6" s="517"/>
      <c r="D6" s="517"/>
      <c r="E6" s="517"/>
      <c r="F6" s="518"/>
      <c r="G6" s="215" t="s">
        <v>866</v>
      </c>
      <c r="H6" s="516" t="s">
        <v>865</v>
      </c>
      <c r="I6" s="517"/>
      <c r="J6" s="517"/>
      <c r="K6" s="517"/>
      <c r="L6" s="517"/>
      <c r="M6" s="518"/>
      <c r="N6" s="215" t="str">
        <f>G6</f>
        <v xml:space="preserve">% </v>
      </c>
      <c r="O6" s="516" t="s">
        <v>865</v>
      </c>
      <c r="P6" s="517"/>
      <c r="Q6" s="517"/>
      <c r="R6" s="517"/>
      <c r="S6" s="517"/>
      <c r="T6" s="518"/>
      <c r="U6" s="215" t="str">
        <f>N6</f>
        <v xml:space="preserve">% </v>
      </c>
      <c r="V6" s="216"/>
      <c r="W6" s="216"/>
      <c r="X6" s="216"/>
      <c r="Y6" s="216"/>
      <c r="Z6" s="216"/>
      <c r="AA6" s="216"/>
      <c r="AB6" s="216" t="str">
        <f>U6</f>
        <v xml:space="preserve">% </v>
      </c>
      <c r="AC6" s="216"/>
      <c r="AD6" s="216"/>
      <c r="AE6" s="216"/>
      <c r="AF6" s="216"/>
      <c r="AG6" s="216"/>
      <c r="AH6" s="216"/>
      <c r="AI6" s="216" t="str">
        <f>AB6</f>
        <v xml:space="preserve">% </v>
      </c>
      <c r="AK6" s="217" t="s">
        <v>867</v>
      </c>
    </row>
    <row r="7" spans="1:38" x14ac:dyDescent="0.2">
      <c r="A7" s="221"/>
      <c r="B7" s="216" t="s">
        <v>868</v>
      </c>
      <c r="C7" s="218">
        <f>'№2 ИП ТС'!R38+'№2 ИП ТС'!R39+'№2 ИП ТС'!R40+'№2 ИП ТС'!R41+'№2 ИП ТС'!R42+'№2 ИП ТС'!R43</f>
        <v>8515.7200000000012</v>
      </c>
      <c r="D7" s="219">
        <f>16%+4%</f>
        <v>0.2</v>
      </c>
      <c r="E7" s="220" t="s">
        <v>869</v>
      </c>
      <c r="F7" s="220"/>
      <c r="G7" s="220"/>
      <c r="H7" s="221"/>
      <c r="I7" s="216" t="s">
        <v>868</v>
      </c>
      <c r="J7" s="222">
        <f>'№2 ИП ТС'!R44</f>
        <v>686.88499999999999</v>
      </c>
      <c r="K7" s="219">
        <f>D7</f>
        <v>0.2</v>
      </c>
      <c r="L7" s="220" t="s">
        <v>869</v>
      </c>
      <c r="M7" s="220"/>
      <c r="N7" s="220"/>
      <c r="O7" s="221"/>
      <c r="P7" s="216" t="s">
        <v>868</v>
      </c>
      <c r="Q7" s="222">
        <f>'№2 ИП ТС'!R87</f>
        <v>1655.5319999999999</v>
      </c>
      <c r="R7" s="219">
        <f>K7</f>
        <v>0.2</v>
      </c>
      <c r="S7" s="220" t="s">
        <v>869</v>
      </c>
      <c r="T7" s="220"/>
      <c r="U7" s="220"/>
      <c r="V7" s="223"/>
      <c r="W7" s="224" t="s">
        <v>868</v>
      </c>
      <c r="X7" s="225">
        <f>'[2]ИНВЕСТ '!T11*1.2</f>
        <v>0</v>
      </c>
      <c r="Y7" s="226">
        <f>R7</f>
        <v>0.2</v>
      </c>
      <c r="Z7" s="227" t="s">
        <v>869</v>
      </c>
      <c r="AA7" s="227"/>
      <c r="AB7" s="227"/>
      <c r="AC7" s="223"/>
      <c r="AD7" s="224" t="s">
        <v>868</v>
      </c>
      <c r="AE7" s="225">
        <f>'[2]ИНВЕСТ '!W11*1.2</f>
        <v>0</v>
      </c>
      <c r="AF7" s="226">
        <f>Y7</f>
        <v>0.2</v>
      </c>
      <c r="AG7" s="227" t="s">
        <v>869</v>
      </c>
      <c r="AH7" s="227"/>
      <c r="AI7" s="227"/>
    </row>
    <row r="8" spans="1:38" ht="15" customHeight="1" x14ac:dyDescent="0.2">
      <c r="A8" s="516" t="str">
        <f>'[1]%_1'!A8</f>
        <v>Плата концедента (01.11.2026)</v>
      </c>
      <c r="B8" s="518"/>
      <c r="C8" s="228">
        <f>8246.228/1.2</f>
        <v>6871.8566666666666</v>
      </c>
      <c r="D8" s="229">
        <f>12*10</f>
        <v>120</v>
      </c>
      <c r="E8" s="220" t="s">
        <v>871</v>
      </c>
      <c r="F8" s="220"/>
      <c r="G8" s="220"/>
      <c r="H8" s="230"/>
      <c r="I8" s="216" t="s">
        <v>872</v>
      </c>
      <c r="J8" s="267">
        <v>0</v>
      </c>
      <c r="K8" s="232">
        <f>D8</f>
        <v>120</v>
      </c>
      <c r="L8" s="220" t="s">
        <v>871</v>
      </c>
      <c r="M8" s="220"/>
      <c r="N8" s="220"/>
      <c r="O8" s="230"/>
      <c r="P8" s="216" t="s">
        <v>872</v>
      </c>
      <c r="Q8" s="267">
        <v>0</v>
      </c>
      <c r="R8" s="233">
        <v>120</v>
      </c>
      <c r="S8" s="220" t="s">
        <v>871</v>
      </c>
      <c r="T8" s="220"/>
      <c r="U8" s="220"/>
      <c r="V8" s="230"/>
      <c r="W8" s="216" t="s">
        <v>872</v>
      </c>
      <c r="X8" s="231">
        <v>0</v>
      </c>
      <c r="Y8" s="233">
        <v>120</v>
      </c>
      <c r="Z8" s="220" t="s">
        <v>871</v>
      </c>
      <c r="AA8" s="220"/>
      <c r="AB8" s="220"/>
      <c r="AC8" s="230"/>
      <c r="AD8" s="216" t="s">
        <v>872</v>
      </c>
      <c r="AE8" s="231">
        <v>0</v>
      </c>
      <c r="AF8" s="233">
        <v>120</v>
      </c>
      <c r="AG8" s="220" t="s">
        <v>871</v>
      </c>
      <c r="AH8" s="220"/>
      <c r="AI8" s="220"/>
    </row>
    <row r="9" spans="1:38" x14ac:dyDescent="0.2">
      <c r="A9" s="234" t="s">
        <v>873</v>
      </c>
      <c r="B9" s="220" t="s">
        <v>874</v>
      </c>
      <c r="C9" s="220" t="s">
        <v>875</v>
      </c>
      <c r="D9" s="220" t="s">
        <v>13</v>
      </c>
      <c r="E9" s="220" t="s">
        <v>876</v>
      </c>
      <c r="F9" s="220" t="s">
        <v>877</v>
      </c>
      <c r="G9" s="220"/>
      <c r="H9" s="234" t="s">
        <v>873</v>
      </c>
      <c r="I9" s="220" t="s">
        <v>874</v>
      </c>
      <c r="J9" s="220" t="s">
        <v>875</v>
      </c>
      <c r="K9" s="220" t="s">
        <v>13</v>
      </c>
      <c r="L9" s="220" t="s">
        <v>878</v>
      </c>
      <c r="M9" s="220" t="s">
        <v>877</v>
      </c>
      <c r="N9" s="220"/>
      <c r="O9" s="234" t="s">
        <v>873</v>
      </c>
      <c r="P9" s="220" t="s">
        <v>874</v>
      </c>
      <c r="Q9" s="220" t="s">
        <v>875</v>
      </c>
      <c r="R9" s="220" t="s">
        <v>13</v>
      </c>
      <c r="S9" s="220" t="s">
        <v>878</v>
      </c>
      <c r="T9" s="220" t="s">
        <v>877</v>
      </c>
      <c r="U9" s="220"/>
      <c r="V9" s="234" t="s">
        <v>873</v>
      </c>
      <c r="W9" s="220" t="s">
        <v>874</v>
      </c>
      <c r="X9" s="220" t="s">
        <v>875</v>
      </c>
      <c r="Y9" s="220" t="s">
        <v>13</v>
      </c>
      <c r="Z9" s="220" t="s">
        <v>878</v>
      </c>
      <c r="AA9" s="220" t="s">
        <v>877</v>
      </c>
      <c r="AB9" s="220"/>
      <c r="AC9" s="234" t="s">
        <v>873</v>
      </c>
      <c r="AD9" s="220" t="s">
        <v>874</v>
      </c>
      <c r="AE9" s="220" t="s">
        <v>875</v>
      </c>
      <c r="AF9" s="220" t="s">
        <v>13</v>
      </c>
      <c r="AG9" s="220" t="s">
        <v>878</v>
      </c>
      <c r="AH9" s="220" t="s">
        <v>877</v>
      </c>
      <c r="AI9" s="220"/>
      <c r="AK9" s="208">
        <f>G9+N9+U9</f>
        <v>0</v>
      </c>
    </row>
    <row r="10" spans="1:38" hidden="1" x14ac:dyDescent="0.2">
      <c r="A10" s="512">
        <v>2022</v>
      </c>
      <c r="B10" s="234" t="s">
        <v>225</v>
      </c>
      <c r="C10" s="235"/>
      <c r="D10" s="235"/>
      <c r="E10" s="235"/>
      <c r="F10" s="236">
        <f>D10+E10</f>
        <v>0</v>
      </c>
      <c r="G10" s="237"/>
      <c r="H10" s="513">
        <f>A10</f>
        <v>2022</v>
      </c>
      <c r="I10" s="234" t="s">
        <v>225</v>
      </c>
      <c r="J10" s="235"/>
      <c r="K10" s="235"/>
      <c r="L10" s="235"/>
      <c r="M10" s="236"/>
      <c r="N10" s="236"/>
      <c r="O10" s="512">
        <f>H10</f>
        <v>2022</v>
      </c>
      <c r="P10" s="234" t="s">
        <v>225</v>
      </c>
      <c r="Q10" s="235"/>
      <c r="R10" s="235"/>
      <c r="S10" s="235"/>
      <c r="T10" s="236"/>
      <c r="U10" s="236"/>
      <c r="V10" s="512">
        <v>2021</v>
      </c>
      <c r="W10" s="234" t="s">
        <v>225</v>
      </c>
      <c r="X10" s="235"/>
      <c r="Y10" s="235"/>
      <c r="Z10" s="235"/>
      <c r="AA10" s="236"/>
      <c r="AB10" s="236"/>
      <c r="AC10" s="512">
        <v>2021</v>
      </c>
      <c r="AD10" s="234" t="s">
        <v>225</v>
      </c>
      <c r="AE10" s="235"/>
      <c r="AF10" s="235"/>
      <c r="AG10" s="235"/>
      <c r="AH10" s="236"/>
      <c r="AI10" s="236"/>
    </row>
    <row r="11" spans="1:38" hidden="1" x14ac:dyDescent="0.2">
      <c r="A11" s="512"/>
      <c r="B11" s="234" t="s">
        <v>226</v>
      </c>
      <c r="C11" s="235"/>
      <c r="D11" s="235"/>
      <c r="E11" s="235"/>
      <c r="F11" s="236">
        <f>D11+E11</f>
        <v>0</v>
      </c>
      <c r="G11" s="238"/>
      <c r="H11" s="514"/>
      <c r="I11" s="234" t="s">
        <v>226</v>
      </c>
      <c r="J11" s="235"/>
      <c r="K11" s="235"/>
      <c r="L11" s="235"/>
      <c r="M11" s="236"/>
      <c r="N11" s="236"/>
      <c r="O11" s="512"/>
      <c r="P11" s="234" t="s">
        <v>226</v>
      </c>
      <c r="Q11" s="235"/>
      <c r="R11" s="235"/>
      <c r="S11" s="235"/>
      <c r="T11" s="236"/>
      <c r="U11" s="236"/>
      <c r="V11" s="512"/>
      <c r="W11" s="234" t="s">
        <v>226</v>
      </c>
      <c r="X11" s="235"/>
      <c r="Y11" s="235"/>
      <c r="Z11" s="235"/>
      <c r="AA11" s="236"/>
      <c r="AB11" s="236"/>
      <c r="AC11" s="512"/>
      <c r="AD11" s="234" t="s">
        <v>226</v>
      </c>
      <c r="AE11" s="235"/>
      <c r="AF11" s="235"/>
      <c r="AG11" s="235"/>
      <c r="AH11" s="236"/>
      <c r="AI11" s="236"/>
    </row>
    <row r="12" spans="1:38" hidden="1" x14ac:dyDescent="0.2">
      <c r="A12" s="512"/>
      <c r="B12" s="234" t="s">
        <v>227</v>
      </c>
      <c r="C12" s="235"/>
      <c r="D12" s="235"/>
      <c r="E12" s="235"/>
      <c r="F12" s="236">
        <f t="shared" ref="F12:F75" si="0">D12+E12</f>
        <v>0</v>
      </c>
      <c r="G12" s="238"/>
      <c r="H12" s="514"/>
      <c r="I12" s="234" t="s">
        <v>227</v>
      </c>
      <c r="J12" s="235"/>
      <c r="K12" s="235"/>
      <c r="L12" s="235"/>
      <c r="M12" s="236"/>
      <c r="N12" s="236"/>
      <c r="O12" s="512"/>
      <c r="P12" s="234" t="s">
        <v>227</v>
      </c>
      <c r="Q12" s="235"/>
      <c r="R12" s="235"/>
      <c r="S12" s="235"/>
      <c r="T12" s="236"/>
      <c r="U12" s="236"/>
      <c r="V12" s="512"/>
      <c r="W12" s="234" t="s">
        <v>227</v>
      </c>
      <c r="X12" s="235"/>
      <c r="Y12" s="235"/>
      <c r="Z12" s="235"/>
      <c r="AA12" s="236"/>
      <c r="AB12" s="236"/>
      <c r="AC12" s="512"/>
      <c r="AD12" s="234" t="s">
        <v>227</v>
      </c>
      <c r="AE12" s="235"/>
      <c r="AF12" s="235"/>
      <c r="AG12" s="235"/>
      <c r="AH12" s="236"/>
      <c r="AI12" s="236"/>
    </row>
    <row r="13" spans="1:38" hidden="1" x14ac:dyDescent="0.2">
      <c r="A13" s="512"/>
      <c r="B13" s="234" t="s">
        <v>228</v>
      </c>
      <c r="C13" s="235"/>
      <c r="D13" s="235"/>
      <c r="E13" s="235"/>
      <c r="F13" s="236">
        <f t="shared" si="0"/>
        <v>0</v>
      </c>
      <c r="G13" s="238"/>
      <c r="H13" s="514"/>
      <c r="I13" s="234" t="s">
        <v>228</v>
      </c>
      <c r="J13" s="235"/>
      <c r="K13" s="235"/>
      <c r="L13" s="235"/>
      <c r="M13" s="236"/>
      <c r="N13" s="236"/>
      <c r="O13" s="512"/>
      <c r="P13" s="234" t="s">
        <v>228</v>
      </c>
      <c r="Q13" s="235"/>
      <c r="R13" s="235"/>
      <c r="S13" s="235"/>
      <c r="T13" s="236"/>
      <c r="U13" s="236"/>
      <c r="V13" s="512"/>
      <c r="W13" s="234" t="s">
        <v>228</v>
      </c>
      <c r="X13" s="235"/>
      <c r="Y13" s="235"/>
      <c r="Z13" s="235"/>
      <c r="AA13" s="236"/>
      <c r="AB13" s="236"/>
      <c r="AC13" s="512"/>
      <c r="AD13" s="234" t="s">
        <v>228</v>
      </c>
      <c r="AE13" s="235"/>
      <c r="AF13" s="235"/>
      <c r="AG13" s="235"/>
      <c r="AH13" s="236"/>
      <c r="AI13" s="236"/>
    </row>
    <row r="14" spans="1:38" hidden="1" x14ac:dyDescent="0.2">
      <c r="A14" s="512"/>
      <c r="B14" s="234" t="s">
        <v>229</v>
      </c>
      <c r="C14" s="235"/>
      <c r="D14" s="235"/>
      <c r="E14" s="235"/>
      <c r="F14" s="236">
        <f t="shared" si="0"/>
        <v>0</v>
      </c>
      <c r="G14" s="238"/>
      <c r="H14" s="514"/>
      <c r="I14" s="234" t="s">
        <v>229</v>
      </c>
      <c r="J14" s="235"/>
      <c r="K14" s="235"/>
      <c r="L14" s="235"/>
      <c r="M14" s="236"/>
      <c r="N14" s="236"/>
      <c r="O14" s="512"/>
      <c r="P14" s="234" t="s">
        <v>229</v>
      </c>
      <c r="Q14" s="235"/>
      <c r="R14" s="235"/>
      <c r="S14" s="235"/>
      <c r="T14" s="236"/>
      <c r="U14" s="236"/>
      <c r="V14" s="512"/>
      <c r="W14" s="234" t="s">
        <v>229</v>
      </c>
      <c r="X14" s="235"/>
      <c r="Y14" s="235"/>
      <c r="Z14" s="235"/>
      <c r="AA14" s="236"/>
      <c r="AB14" s="236"/>
      <c r="AC14" s="512"/>
      <c r="AD14" s="234" t="s">
        <v>229</v>
      </c>
      <c r="AE14" s="235"/>
      <c r="AF14" s="235"/>
      <c r="AG14" s="235"/>
      <c r="AH14" s="236"/>
      <c r="AI14" s="236"/>
    </row>
    <row r="15" spans="1:38" hidden="1" x14ac:dyDescent="0.2">
      <c r="A15" s="512"/>
      <c r="B15" s="234" t="s">
        <v>230</v>
      </c>
      <c r="C15" s="235"/>
      <c r="D15" s="235"/>
      <c r="E15" s="235"/>
      <c r="F15" s="236">
        <f t="shared" si="0"/>
        <v>0</v>
      </c>
      <c r="G15" s="238"/>
      <c r="H15" s="514"/>
      <c r="I15" s="234" t="s">
        <v>230</v>
      </c>
      <c r="J15" s="235"/>
      <c r="K15" s="235"/>
      <c r="L15" s="235"/>
      <c r="M15" s="236"/>
      <c r="N15" s="236"/>
      <c r="O15" s="512"/>
      <c r="P15" s="234" t="s">
        <v>230</v>
      </c>
      <c r="Q15" s="235"/>
      <c r="R15" s="235"/>
      <c r="S15" s="235"/>
      <c r="T15" s="236"/>
      <c r="U15" s="236"/>
      <c r="V15" s="512"/>
      <c r="W15" s="234" t="s">
        <v>230</v>
      </c>
      <c r="X15" s="235"/>
      <c r="Y15" s="235"/>
      <c r="Z15" s="235"/>
      <c r="AA15" s="236"/>
      <c r="AB15" s="236"/>
      <c r="AC15" s="512"/>
      <c r="AD15" s="234" t="s">
        <v>230</v>
      </c>
      <c r="AE15" s="235"/>
      <c r="AF15" s="235"/>
      <c r="AG15" s="235"/>
      <c r="AH15" s="236"/>
      <c r="AI15" s="236"/>
    </row>
    <row r="16" spans="1:38" hidden="1" x14ac:dyDescent="0.2">
      <c r="A16" s="512"/>
      <c r="B16" s="234" t="s">
        <v>231</v>
      </c>
      <c r="C16" s="235"/>
      <c r="D16" s="235"/>
      <c r="E16" s="235"/>
      <c r="F16" s="236">
        <f t="shared" si="0"/>
        <v>0</v>
      </c>
      <c r="G16" s="238"/>
      <c r="H16" s="514"/>
      <c r="I16" s="234" t="s">
        <v>231</v>
      </c>
      <c r="J16" s="235"/>
      <c r="K16" s="235"/>
      <c r="L16" s="235"/>
      <c r="M16" s="236"/>
      <c r="N16" s="236"/>
      <c r="O16" s="512"/>
      <c r="P16" s="234" t="s">
        <v>231</v>
      </c>
      <c r="Q16" s="235"/>
      <c r="R16" s="235"/>
      <c r="S16" s="235"/>
      <c r="T16" s="236"/>
      <c r="U16" s="236"/>
      <c r="V16" s="512"/>
      <c r="W16" s="234" t="s">
        <v>231</v>
      </c>
      <c r="X16" s="235"/>
      <c r="Y16" s="235"/>
      <c r="Z16" s="235"/>
      <c r="AA16" s="236"/>
      <c r="AB16" s="236"/>
      <c r="AC16" s="512"/>
      <c r="AD16" s="234" t="s">
        <v>231</v>
      </c>
      <c r="AE16" s="235"/>
      <c r="AF16" s="235"/>
      <c r="AG16" s="235"/>
      <c r="AH16" s="236"/>
      <c r="AI16" s="236"/>
    </row>
    <row r="17" spans="1:37" x14ac:dyDescent="0.2">
      <c r="A17" s="512"/>
      <c r="B17" s="234" t="s">
        <v>232</v>
      </c>
      <c r="C17" s="235"/>
      <c r="D17" s="235"/>
      <c r="E17" s="235"/>
      <c r="F17" s="236">
        <f t="shared" si="0"/>
        <v>0</v>
      </c>
      <c r="G17" s="238"/>
      <c r="H17" s="514"/>
      <c r="I17" s="234" t="s">
        <v>232</v>
      </c>
      <c r="J17" s="235"/>
      <c r="K17" s="235"/>
      <c r="L17" s="235"/>
      <c r="M17" s="236"/>
      <c r="N17" s="236"/>
      <c r="O17" s="512"/>
      <c r="P17" s="234" t="s">
        <v>232</v>
      </c>
      <c r="Q17" s="235"/>
      <c r="R17" s="235"/>
      <c r="S17" s="235"/>
      <c r="T17" s="236"/>
      <c r="U17" s="236"/>
      <c r="V17" s="512"/>
      <c r="W17" s="234" t="s">
        <v>232</v>
      </c>
      <c r="X17" s="235"/>
      <c r="Y17" s="235"/>
      <c r="Z17" s="235"/>
      <c r="AA17" s="236"/>
      <c r="AB17" s="236"/>
      <c r="AC17" s="512"/>
      <c r="AD17" s="234" t="s">
        <v>232</v>
      </c>
      <c r="AE17" s="235"/>
      <c r="AF17" s="235"/>
      <c r="AG17" s="235"/>
      <c r="AH17" s="236"/>
      <c r="AI17" s="236"/>
    </row>
    <row r="18" spans="1:37" x14ac:dyDescent="0.2">
      <c r="A18" s="512"/>
      <c r="B18" s="234" t="s">
        <v>233</v>
      </c>
      <c r="C18" s="235"/>
      <c r="D18" s="235"/>
      <c r="E18" s="235"/>
      <c r="F18" s="236">
        <f t="shared" si="0"/>
        <v>0</v>
      </c>
      <c r="G18" s="238"/>
      <c r="H18" s="514"/>
      <c r="I18" s="234" t="s">
        <v>233</v>
      </c>
      <c r="J18" s="235"/>
      <c r="K18" s="235"/>
      <c r="L18" s="235"/>
      <c r="M18" s="236"/>
      <c r="N18" s="236"/>
      <c r="O18" s="512"/>
      <c r="P18" s="234" t="s">
        <v>233</v>
      </c>
      <c r="Q18" s="235"/>
      <c r="R18" s="235"/>
      <c r="S18" s="235"/>
      <c r="T18" s="236"/>
      <c r="U18" s="236"/>
      <c r="V18" s="512"/>
      <c r="W18" s="234" t="s">
        <v>233</v>
      </c>
      <c r="X18" s="235"/>
      <c r="Y18" s="235"/>
      <c r="Z18" s="235"/>
      <c r="AA18" s="236"/>
      <c r="AB18" s="236"/>
      <c r="AC18" s="512"/>
      <c r="AD18" s="234" t="s">
        <v>233</v>
      </c>
      <c r="AE18" s="235"/>
      <c r="AF18" s="235"/>
      <c r="AG18" s="235"/>
      <c r="AH18" s="236"/>
      <c r="AI18" s="236"/>
    </row>
    <row r="19" spans="1:37" x14ac:dyDescent="0.2">
      <c r="A19" s="512"/>
      <c r="B19" s="234" t="s">
        <v>234</v>
      </c>
      <c r="C19" s="235"/>
      <c r="D19" s="235"/>
      <c r="E19" s="235"/>
      <c r="F19" s="236">
        <f t="shared" si="0"/>
        <v>0</v>
      </c>
      <c r="G19" s="238"/>
      <c r="H19" s="514"/>
      <c r="I19" s="234" t="s">
        <v>234</v>
      </c>
      <c r="J19" s="235"/>
      <c r="K19" s="235"/>
      <c r="L19" s="235"/>
      <c r="M19" s="236"/>
      <c r="N19" s="236"/>
      <c r="O19" s="512"/>
      <c r="P19" s="234" t="s">
        <v>234</v>
      </c>
      <c r="Q19" s="235"/>
      <c r="R19" s="235"/>
      <c r="S19" s="235"/>
      <c r="T19" s="236"/>
      <c r="U19" s="236"/>
      <c r="V19" s="512"/>
      <c r="W19" s="234" t="s">
        <v>234</v>
      </c>
      <c r="X19" s="235"/>
      <c r="Y19" s="235"/>
      <c r="Z19" s="235"/>
      <c r="AA19" s="236"/>
      <c r="AB19" s="236"/>
      <c r="AC19" s="512"/>
      <c r="AD19" s="234" t="s">
        <v>234</v>
      </c>
      <c r="AE19" s="235"/>
      <c r="AF19" s="235"/>
      <c r="AG19" s="235"/>
      <c r="AH19" s="236"/>
      <c r="AI19" s="236"/>
    </row>
    <row r="20" spans="1:37" x14ac:dyDescent="0.2">
      <c r="A20" s="512"/>
      <c r="B20" s="234" t="s">
        <v>235</v>
      </c>
      <c r="C20" s="235"/>
      <c r="D20" s="235"/>
      <c r="E20" s="235"/>
      <c r="F20" s="236">
        <f t="shared" si="0"/>
        <v>0</v>
      </c>
      <c r="G20" s="238"/>
      <c r="H20" s="514"/>
      <c r="I20" s="234" t="s">
        <v>235</v>
      </c>
      <c r="J20" s="235"/>
      <c r="K20" s="235"/>
      <c r="L20" s="235"/>
      <c r="M20" s="236"/>
      <c r="N20" s="236"/>
      <c r="O20" s="512"/>
      <c r="P20" s="234" t="s">
        <v>235</v>
      </c>
      <c r="Q20" s="235"/>
      <c r="R20" s="235"/>
      <c r="S20" s="235"/>
      <c r="T20" s="236"/>
      <c r="U20" s="236"/>
      <c r="V20" s="512"/>
      <c r="W20" s="234" t="s">
        <v>235</v>
      </c>
      <c r="X20" s="235"/>
      <c r="Y20" s="235"/>
      <c r="Z20" s="235"/>
      <c r="AA20" s="236"/>
      <c r="AB20" s="236"/>
      <c r="AC20" s="512"/>
      <c r="AD20" s="234" t="s">
        <v>235</v>
      </c>
      <c r="AE20" s="235"/>
      <c r="AF20" s="235"/>
      <c r="AG20" s="235"/>
      <c r="AH20" s="236"/>
      <c r="AI20" s="236"/>
    </row>
    <row r="21" spans="1:37" x14ac:dyDescent="0.2">
      <c r="A21" s="512"/>
      <c r="B21" s="234" t="s">
        <v>236</v>
      </c>
      <c r="C21" s="235"/>
      <c r="D21" s="235"/>
      <c r="E21" s="235"/>
      <c r="F21" s="236">
        <f t="shared" si="0"/>
        <v>0</v>
      </c>
      <c r="G21" s="239">
        <f>SUM(D10:D21)</f>
        <v>0</v>
      </c>
      <c r="H21" s="515"/>
      <c r="I21" s="234" t="s">
        <v>236</v>
      </c>
      <c r="J21" s="235"/>
      <c r="K21" s="235"/>
      <c r="L21" s="235"/>
      <c r="M21" s="236"/>
      <c r="N21" s="236"/>
      <c r="O21" s="512"/>
      <c r="P21" s="234" t="s">
        <v>236</v>
      </c>
      <c r="Q21" s="235"/>
      <c r="R21" s="235"/>
      <c r="S21" s="235"/>
      <c r="T21" s="236"/>
      <c r="U21" s="236"/>
      <c r="V21" s="512"/>
      <c r="W21" s="234" t="s">
        <v>236</v>
      </c>
      <c r="X21" s="235"/>
      <c r="Y21" s="235"/>
      <c r="Z21" s="235"/>
      <c r="AA21" s="236"/>
      <c r="AB21" s="236"/>
      <c r="AC21" s="512"/>
      <c r="AD21" s="234" t="s">
        <v>236</v>
      </c>
      <c r="AE21" s="235"/>
      <c r="AF21" s="235"/>
      <c r="AG21" s="235"/>
      <c r="AH21" s="236"/>
      <c r="AI21" s="236"/>
      <c r="AJ21" s="208">
        <f>A10</f>
        <v>2022</v>
      </c>
      <c r="AK21" s="240">
        <f>G21+N21+U21</f>
        <v>0</v>
      </c>
    </row>
    <row r="22" spans="1:37" x14ac:dyDescent="0.2">
      <c r="A22" s="512">
        <v>2023</v>
      </c>
      <c r="B22" s="234" t="s">
        <v>225</v>
      </c>
      <c r="C22" s="235"/>
      <c r="D22" s="235"/>
      <c r="E22" s="235"/>
      <c r="F22" s="236">
        <f t="shared" si="0"/>
        <v>0</v>
      </c>
      <c r="G22" s="237"/>
      <c r="H22" s="513">
        <f>H10+1</f>
        <v>2023</v>
      </c>
      <c r="I22" s="234" t="s">
        <v>225</v>
      </c>
      <c r="J22" s="235"/>
      <c r="K22" s="235"/>
      <c r="L22" s="235"/>
      <c r="M22" s="236">
        <f>K22+L22</f>
        <v>0</v>
      </c>
      <c r="N22" s="236"/>
      <c r="O22" s="512">
        <f>O10+1</f>
        <v>2023</v>
      </c>
      <c r="P22" s="234" t="s">
        <v>225</v>
      </c>
      <c r="Q22" s="235"/>
      <c r="R22" s="235"/>
      <c r="S22" s="235"/>
      <c r="T22" s="236"/>
      <c r="U22" s="236"/>
      <c r="V22" s="512">
        <f>V10+1</f>
        <v>2022</v>
      </c>
      <c r="W22" s="234" t="s">
        <v>225</v>
      </c>
      <c r="X22" s="235"/>
      <c r="Y22" s="235"/>
      <c r="Z22" s="235"/>
      <c r="AA22" s="236"/>
      <c r="AB22" s="236"/>
      <c r="AC22" s="512">
        <f>AC10+1</f>
        <v>2022</v>
      </c>
      <c r="AD22" s="234" t="s">
        <v>225</v>
      </c>
      <c r="AE22" s="235"/>
      <c r="AF22" s="235"/>
      <c r="AG22" s="235"/>
      <c r="AH22" s="236"/>
      <c r="AI22" s="236"/>
      <c r="AK22" s="240"/>
    </row>
    <row r="23" spans="1:37" x14ac:dyDescent="0.2">
      <c r="A23" s="512"/>
      <c r="B23" s="234" t="s">
        <v>226</v>
      </c>
      <c r="C23" s="235"/>
      <c r="D23" s="235"/>
      <c r="E23" s="235"/>
      <c r="F23" s="236">
        <f t="shared" si="0"/>
        <v>0</v>
      </c>
      <c r="G23" s="238"/>
      <c r="H23" s="514"/>
      <c r="I23" s="234" t="s">
        <v>226</v>
      </c>
      <c r="J23" s="235"/>
      <c r="K23" s="235"/>
      <c r="L23" s="235"/>
      <c r="M23" s="236">
        <f t="shared" ref="M23:M86" si="1">K23+L23</f>
        <v>0</v>
      </c>
      <c r="N23" s="236"/>
      <c r="O23" s="512"/>
      <c r="P23" s="234" t="s">
        <v>226</v>
      </c>
      <c r="Q23" s="235"/>
      <c r="R23" s="235"/>
      <c r="S23" s="235"/>
      <c r="T23" s="236"/>
      <c r="U23" s="236"/>
      <c r="V23" s="512"/>
      <c r="W23" s="234" t="s">
        <v>226</v>
      </c>
      <c r="X23" s="235"/>
      <c r="Y23" s="235"/>
      <c r="Z23" s="235"/>
      <c r="AA23" s="236"/>
      <c r="AB23" s="236"/>
      <c r="AC23" s="512"/>
      <c r="AD23" s="234" t="s">
        <v>226</v>
      </c>
      <c r="AE23" s="235"/>
      <c r="AF23" s="235"/>
      <c r="AG23" s="235"/>
      <c r="AH23" s="236"/>
      <c r="AI23" s="236"/>
      <c r="AK23" s="240"/>
    </row>
    <row r="24" spans="1:37" x14ac:dyDescent="0.2">
      <c r="A24" s="512"/>
      <c r="B24" s="234" t="s">
        <v>227</v>
      </c>
      <c r="C24" s="235"/>
      <c r="D24" s="235"/>
      <c r="E24" s="235"/>
      <c r="F24" s="236">
        <f t="shared" si="0"/>
        <v>0</v>
      </c>
      <c r="G24" s="238"/>
      <c r="H24" s="514"/>
      <c r="I24" s="234" t="s">
        <v>227</v>
      </c>
      <c r="J24" s="235"/>
      <c r="K24" s="235"/>
      <c r="L24" s="235"/>
      <c r="M24" s="236">
        <f t="shared" si="1"/>
        <v>0</v>
      </c>
      <c r="N24" s="236"/>
      <c r="O24" s="512"/>
      <c r="P24" s="234" t="s">
        <v>227</v>
      </c>
      <c r="Q24" s="235"/>
      <c r="R24" s="235"/>
      <c r="S24" s="235"/>
      <c r="T24" s="236"/>
      <c r="U24" s="236"/>
      <c r="V24" s="512"/>
      <c r="W24" s="234" t="s">
        <v>227</v>
      </c>
      <c r="X24" s="235"/>
      <c r="Y24" s="235"/>
      <c r="Z24" s="235"/>
      <c r="AA24" s="236"/>
      <c r="AB24" s="236"/>
      <c r="AC24" s="512"/>
      <c r="AD24" s="234" t="s">
        <v>227</v>
      </c>
      <c r="AE24" s="235"/>
      <c r="AF24" s="235"/>
      <c r="AG24" s="235"/>
      <c r="AH24" s="236"/>
      <c r="AI24" s="236"/>
      <c r="AK24" s="240"/>
    </row>
    <row r="25" spans="1:37" x14ac:dyDescent="0.2">
      <c r="A25" s="512"/>
      <c r="B25" s="234" t="s">
        <v>228</v>
      </c>
      <c r="C25" s="235"/>
      <c r="D25" s="235"/>
      <c r="E25" s="235"/>
      <c r="F25" s="236">
        <f t="shared" si="0"/>
        <v>0</v>
      </c>
      <c r="G25" s="238"/>
      <c r="H25" s="514"/>
      <c r="I25" s="234" t="s">
        <v>228</v>
      </c>
      <c r="J25" s="235"/>
      <c r="K25" s="235"/>
      <c r="L25" s="235"/>
      <c r="M25" s="236">
        <f t="shared" si="1"/>
        <v>0</v>
      </c>
      <c r="N25" s="236"/>
      <c r="O25" s="512"/>
      <c r="P25" s="234" t="s">
        <v>228</v>
      </c>
      <c r="Q25" s="235"/>
      <c r="R25" s="235"/>
      <c r="S25" s="235"/>
      <c r="T25" s="236"/>
      <c r="U25" s="236"/>
      <c r="V25" s="512"/>
      <c r="W25" s="234" t="s">
        <v>228</v>
      </c>
      <c r="X25" s="235"/>
      <c r="Y25" s="235"/>
      <c r="Z25" s="235"/>
      <c r="AA25" s="236"/>
      <c r="AB25" s="236"/>
      <c r="AC25" s="512"/>
      <c r="AD25" s="234" t="s">
        <v>228</v>
      </c>
      <c r="AE25" s="235"/>
      <c r="AF25" s="235"/>
      <c r="AG25" s="235"/>
      <c r="AH25" s="236"/>
      <c r="AI25" s="236"/>
      <c r="AK25" s="240"/>
    </row>
    <row r="26" spans="1:37" x14ac:dyDescent="0.2">
      <c r="A26" s="512"/>
      <c r="B26" s="234" t="s">
        <v>229</v>
      </c>
      <c r="C26" s="235"/>
      <c r="D26" s="235"/>
      <c r="E26" s="235"/>
      <c r="F26" s="236">
        <f t="shared" si="0"/>
        <v>0</v>
      </c>
      <c r="G26" s="238"/>
      <c r="H26" s="514"/>
      <c r="I26" s="234" t="s">
        <v>229</v>
      </c>
      <c r="J26" s="235"/>
      <c r="K26" s="235"/>
      <c r="L26" s="235"/>
      <c r="M26" s="236">
        <f t="shared" si="1"/>
        <v>0</v>
      </c>
      <c r="N26" s="236"/>
      <c r="O26" s="512"/>
      <c r="P26" s="234" t="s">
        <v>229</v>
      </c>
      <c r="Q26" s="235"/>
      <c r="R26" s="235"/>
      <c r="S26" s="235"/>
      <c r="T26" s="236"/>
      <c r="U26" s="236"/>
      <c r="V26" s="512"/>
      <c r="W26" s="234" t="s">
        <v>229</v>
      </c>
      <c r="X26" s="235"/>
      <c r="Y26" s="235"/>
      <c r="Z26" s="235"/>
      <c r="AA26" s="236"/>
      <c r="AB26" s="236"/>
      <c r="AC26" s="512"/>
      <c r="AD26" s="234" t="s">
        <v>229</v>
      </c>
      <c r="AE26" s="235"/>
      <c r="AF26" s="235"/>
      <c r="AG26" s="235"/>
      <c r="AH26" s="236"/>
      <c r="AI26" s="236"/>
      <c r="AK26" s="240"/>
    </row>
    <row r="27" spans="1:37" x14ac:dyDescent="0.2">
      <c r="A27" s="512"/>
      <c r="B27" s="234" t="s">
        <v>230</v>
      </c>
      <c r="C27" s="235"/>
      <c r="D27" s="235"/>
      <c r="E27" s="235"/>
      <c r="F27" s="236">
        <f t="shared" si="0"/>
        <v>0</v>
      </c>
      <c r="G27" s="238"/>
      <c r="H27" s="514"/>
      <c r="I27" s="234" t="s">
        <v>230</v>
      </c>
      <c r="J27" s="235"/>
      <c r="K27" s="235"/>
      <c r="L27" s="235"/>
      <c r="M27" s="236">
        <f t="shared" si="1"/>
        <v>0</v>
      </c>
      <c r="N27" s="236"/>
      <c r="O27" s="512"/>
      <c r="P27" s="234" t="s">
        <v>230</v>
      </c>
      <c r="Q27" s="235"/>
      <c r="R27" s="235"/>
      <c r="S27" s="235"/>
      <c r="T27" s="236"/>
      <c r="U27" s="236"/>
      <c r="V27" s="512"/>
      <c r="W27" s="234" t="s">
        <v>230</v>
      </c>
      <c r="X27" s="235"/>
      <c r="Y27" s="235"/>
      <c r="Z27" s="235"/>
      <c r="AA27" s="236"/>
      <c r="AB27" s="236"/>
      <c r="AC27" s="512"/>
      <c r="AD27" s="234" t="s">
        <v>230</v>
      </c>
      <c r="AE27" s="235"/>
      <c r="AF27" s="235"/>
      <c r="AG27" s="235"/>
      <c r="AH27" s="236"/>
      <c r="AI27" s="236"/>
      <c r="AK27" s="240"/>
    </row>
    <row r="28" spans="1:37" x14ac:dyDescent="0.2">
      <c r="A28" s="512"/>
      <c r="B28" s="234" t="s">
        <v>231</v>
      </c>
      <c r="C28" s="235"/>
      <c r="D28" s="235"/>
      <c r="E28" s="235"/>
      <c r="F28" s="236">
        <f t="shared" si="0"/>
        <v>0</v>
      </c>
      <c r="G28" s="238"/>
      <c r="H28" s="514"/>
      <c r="I28" s="234" t="s">
        <v>231</v>
      </c>
      <c r="J28" s="235"/>
      <c r="K28" s="235"/>
      <c r="L28" s="235"/>
      <c r="M28" s="236">
        <f t="shared" si="1"/>
        <v>0</v>
      </c>
      <c r="N28" s="236"/>
      <c r="O28" s="512"/>
      <c r="P28" s="234" t="s">
        <v>231</v>
      </c>
      <c r="Q28" s="235"/>
      <c r="R28" s="235"/>
      <c r="S28" s="235"/>
      <c r="T28" s="236"/>
      <c r="U28" s="236"/>
      <c r="V28" s="512"/>
      <c r="W28" s="234" t="s">
        <v>231</v>
      </c>
      <c r="X28" s="235"/>
      <c r="Y28" s="235"/>
      <c r="Z28" s="235"/>
      <c r="AA28" s="236"/>
      <c r="AB28" s="236"/>
      <c r="AC28" s="512"/>
      <c r="AD28" s="234" t="s">
        <v>231</v>
      </c>
      <c r="AE28" s="235"/>
      <c r="AF28" s="235"/>
      <c r="AG28" s="235"/>
      <c r="AH28" s="236"/>
      <c r="AI28" s="236"/>
      <c r="AK28" s="240"/>
    </row>
    <row r="29" spans="1:37" x14ac:dyDescent="0.2">
      <c r="A29" s="512"/>
      <c r="B29" s="234" t="s">
        <v>232</v>
      </c>
      <c r="C29" s="235"/>
      <c r="D29" s="235"/>
      <c r="E29" s="235"/>
      <c r="F29" s="236">
        <f t="shared" si="0"/>
        <v>0</v>
      </c>
      <c r="G29" s="238"/>
      <c r="H29" s="514"/>
      <c r="I29" s="234" t="s">
        <v>232</v>
      </c>
      <c r="J29" s="235"/>
      <c r="K29" s="235"/>
      <c r="L29" s="235"/>
      <c r="M29" s="236">
        <f t="shared" si="1"/>
        <v>0</v>
      </c>
      <c r="N29" s="236"/>
      <c r="O29" s="512"/>
      <c r="P29" s="234" t="s">
        <v>232</v>
      </c>
      <c r="Q29" s="235"/>
      <c r="R29" s="235"/>
      <c r="S29" s="235"/>
      <c r="T29" s="236"/>
      <c r="U29" s="236"/>
      <c r="V29" s="512"/>
      <c r="W29" s="234" t="s">
        <v>232</v>
      </c>
      <c r="X29" s="235"/>
      <c r="Y29" s="235"/>
      <c r="Z29" s="235"/>
      <c r="AA29" s="236"/>
      <c r="AB29" s="236"/>
      <c r="AC29" s="512"/>
      <c r="AD29" s="234" t="s">
        <v>232</v>
      </c>
      <c r="AE29" s="235"/>
      <c r="AF29" s="235"/>
      <c r="AG29" s="235"/>
      <c r="AH29" s="236"/>
      <c r="AI29" s="236"/>
      <c r="AK29" s="240"/>
    </row>
    <row r="30" spans="1:37" x14ac:dyDescent="0.2">
      <c r="A30" s="512"/>
      <c r="B30" s="234" t="s">
        <v>233</v>
      </c>
      <c r="C30" s="235"/>
      <c r="D30" s="235"/>
      <c r="E30" s="235"/>
      <c r="F30" s="236">
        <f t="shared" si="0"/>
        <v>0</v>
      </c>
      <c r="G30" s="238"/>
      <c r="H30" s="514"/>
      <c r="I30" s="234" t="s">
        <v>233</v>
      </c>
      <c r="J30" s="235"/>
      <c r="K30" s="235"/>
      <c r="L30" s="235"/>
      <c r="M30" s="236">
        <f t="shared" si="1"/>
        <v>0</v>
      </c>
      <c r="N30" s="236"/>
      <c r="O30" s="512"/>
      <c r="P30" s="234" t="s">
        <v>233</v>
      </c>
      <c r="Q30" s="235"/>
      <c r="R30" s="235"/>
      <c r="S30" s="235"/>
      <c r="T30" s="236"/>
      <c r="U30" s="236"/>
      <c r="V30" s="512"/>
      <c r="W30" s="234" t="s">
        <v>233</v>
      </c>
      <c r="X30" s="235"/>
      <c r="Y30" s="235"/>
      <c r="Z30" s="235"/>
      <c r="AA30" s="236"/>
      <c r="AB30" s="236"/>
      <c r="AC30" s="512"/>
      <c r="AD30" s="234" t="s">
        <v>233</v>
      </c>
      <c r="AE30" s="235"/>
      <c r="AF30" s="235"/>
      <c r="AG30" s="235"/>
      <c r="AH30" s="236"/>
      <c r="AI30" s="236"/>
      <c r="AK30" s="240"/>
    </row>
    <row r="31" spans="1:37" x14ac:dyDescent="0.2">
      <c r="A31" s="512"/>
      <c r="B31" s="234" t="s">
        <v>234</v>
      </c>
      <c r="C31" s="235"/>
      <c r="D31" s="235"/>
      <c r="E31" s="235"/>
      <c r="F31" s="236">
        <f t="shared" si="0"/>
        <v>0</v>
      </c>
      <c r="G31" s="238"/>
      <c r="H31" s="514"/>
      <c r="I31" s="234" t="s">
        <v>234</v>
      </c>
      <c r="J31" s="235"/>
      <c r="K31" s="235"/>
      <c r="L31" s="235"/>
      <c r="M31" s="236">
        <f t="shared" si="1"/>
        <v>0</v>
      </c>
      <c r="N31" s="236"/>
      <c r="O31" s="512"/>
      <c r="P31" s="234" t="s">
        <v>234</v>
      </c>
      <c r="Q31" s="235"/>
      <c r="R31" s="235"/>
      <c r="S31" s="235"/>
      <c r="T31" s="236"/>
      <c r="U31" s="236"/>
      <c r="V31" s="512"/>
      <c r="W31" s="234" t="s">
        <v>234</v>
      </c>
      <c r="X31" s="235"/>
      <c r="Y31" s="235"/>
      <c r="Z31" s="235"/>
      <c r="AA31" s="236"/>
      <c r="AB31" s="236"/>
      <c r="AC31" s="512"/>
      <c r="AD31" s="234" t="s">
        <v>234</v>
      </c>
      <c r="AE31" s="235"/>
      <c r="AF31" s="235"/>
      <c r="AG31" s="235"/>
      <c r="AH31" s="236"/>
      <c r="AI31" s="236"/>
      <c r="AK31" s="240"/>
    </row>
    <row r="32" spans="1:37" x14ac:dyDescent="0.2">
      <c r="A32" s="512"/>
      <c r="B32" s="234" t="s">
        <v>235</v>
      </c>
      <c r="C32" s="235"/>
      <c r="D32" s="235"/>
      <c r="E32" s="235"/>
      <c r="F32" s="236">
        <f t="shared" si="0"/>
        <v>0</v>
      </c>
      <c r="G32" s="238"/>
      <c r="H32" s="514"/>
      <c r="I32" s="234" t="s">
        <v>235</v>
      </c>
      <c r="J32" s="235"/>
      <c r="K32" s="235"/>
      <c r="L32" s="235"/>
      <c r="M32" s="236">
        <f t="shared" si="1"/>
        <v>0</v>
      </c>
      <c r="N32" s="236"/>
      <c r="O32" s="512"/>
      <c r="P32" s="234" t="s">
        <v>235</v>
      </c>
      <c r="Q32" s="235"/>
      <c r="R32" s="235"/>
      <c r="S32" s="235"/>
      <c r="T32" s="236"/>
      <c r="U32" s="236"/>
      <c r="V32" s="512"/>
      <c r="W32" s="234" t="s">
        <v>235</v>
      </c>
      <c r="X32" s="235"/>
      <c r="Y32" s="235"/>
      <c r="Z32" s="235"/>
      <c r="AA32" s="236"/>
      <c r="AB32" s="236"/>
      <c r="AC32" s="512"/>
      <c r="AD32" s="234" t="s">
        <v>235</v>
      </c>
      <c r="AE32" s="235"/>
      <c r="AF32" s="235"/>
      <c r="AG32" s="235"/>
      <c r="AH32" s="236"/>
      <c r="AI32" s="236"/>
      <c r="AK32" s="240"/>
    </row>
    <row r="33" spans="1:37" x14ac:dyDescent="0.2">
      <c r="A33" s="512"/>
      <c r="B33" s="234" t="s">
        <v>236</v>
      </c>
      <c r="C33" s="235"/>
      <c r="D33" s="235"/>
      <c r="E33" s="235"/>
      <c r="F33" s="236">
        <f t="shared" si="0"/>
        <v>0</v>
      </c>
      <c r="G33" s="239">
        <f>SUM(D22:D33)</f>
        <v>0</v>
      </c>
      <c r="H33" s="515"/>
      <c r="I33" s="234" t="s">
        <v>236</v>
      </c>
      <c r="J33" s="235"/>
      <c r="K33" s="235"/>
      <c r="L33" s="235"/>
      <c r="M33" s="236">
        <f t="shared" si="1"/>
        <v>0</v>
      </c>
      <c r="N33" s="239">
        <f>SUM(K22:K33)</f>
        <v>0</v>
      </c>
      <c r="O33" s="512"/>
      <c r="P33" s="234" t="s">
        <v>236</v>
      </c>
      <c r="Q33" s="235"/>
      <c r="R33" s="235"/>
      <c r="S33" s="235"/>
      <c r="T33" s="236"/>
      <c r="U33" s="236"/>
      <c r="V33" s="512"/>
      <c r="W33" s="234" t="s">
        <v>236</v>
      </c>
      <c r="X33" s="235"/>
      <c r="Y33" s="235"/>
      <c r="Z33" s="235"/>
      <c r="AA33" s="236"/>
      <c r="AB33" s="236"/>
      <c r="AC33" s="512"/>
      <c r="AD33" s="234" t="s">
        <v>236</v>
      </c>
      <c r="AE33" s="235"/>
      <c r="AF33" s="235"/>
      <c r="AG33" s="235"/>
      <c r="AH33" s="236"/>
      <c r="AI33" s="236"/>
      <c r="AJ33" s="208">
        <f>AJ21+1</f>
        <v>2023</v>
      </c>
      <c r="AK33" s="240">
        <f>G33+N33+U33+AB33+AI33</f>
        <v>0</v>
      </c>
    </row>
    <row r="34" spans="1:37" x14ac:dyDescent="0.2">
      <c r="A34" s="512">
        <f>A22+1</f>
        <v>2024</v>
      </c>
      <c r="B34" s="234" t="s">
        <v>225</v>
      </c>
      <c r="C34" s="235"/>
      <c r="D34" s="235"/>
      <c r="E34" s="235"/>
      <c r="F34" s="236">
        <f t="shared" si="0"/>
        <v>0</v>
      </c>
      <c r="G34" s="237"/>
      <c r="H34" s="513">
        <f>H22+1</f>
        <v>2024</v>
      </c>
      <c r="I34" s="234" t="s">
        <v>225</v>
      </c>
      <c r="J34" s="235"/>
      <c r="K34" s="235"/>
      <c r="L34" s="235"/>
      <c r="M34" s="236">
        <f t="shared" si="1"/>
        <v>0</v>
      </c>
      <c r="N34" s="236"/>
      <c r="O34" s="512">
        <f>O22+1</f>
        <v>2024</v>
      </c>
      <c r="P34" s="234" t="s">
        <v>225</v>
      </c>
      <c r="Q34" s="235"/>
      <c r="R34" s="235"/>
      <c r="S34" s="235"/>
      <c r="T34" s="236">
        <f>R34+S34</f>
        <v>0</v>
      </c>
      <c r="U34" s="236"/>
      <c r="V34" s="512">
        <f>V22+1</f>
        <v>2023</v>
      </c>
      <c r="W34" s="234" t="s">
        <v>225</v>
      </c>
      <c r="X34" s="235"/>
      <c r="Y34" s="235">
        <f>X34*$D$7/12</f>
        <v>0</v>
      </c>
      <c r="Z34" s="235"/>
      <c r="AA34" s="236">
        <f>Y34+Z34</f>
        <v>0</v>
      </c>
      <c r="AB34" s="236"/>
      <c r="AC34" s="512">
        <f>AC22+1</f>
        <v>2023</v>
      </c>
      <c r="AD34" s="234" t="s">
        <v>225</v>
      </c>
      <c r="AE34" s="235"/>
      <c r="AF34" s="235">
        <f>AE34*$D$7/12</f>
        <v>0</v>
      </c>
      <c r="AG34" s="235"/>
      <c r="AH34" s="236">
        <f>AF34+AG34</f>
        <v>0</v>
      </c>
      <c r="AI34" s="236"/>
      <c r="AK34" s="240"/>
    </row>
    <row r="35" spans="1:37" x14ac:dyDescent="0.2">
      <c r="A35" s="512"/>
      <c r="B35" s="234" t="s">
        <v>226</v>
      </c>
      <c r="C35" s="235"/>
      <c r="D35" s="235"/>
      <c r="E35" s="235"/>
      <c r="F35" s="236">
        <f t="shared" si="0"/>
        <v>0</v>
      </c>
      <c r="G35" s="238"/>
      <c r="H35" s="514"/>
      <c r="I35" s="234" t="s">
        <v>226</v>
      </c>
      <c r="J35" s="235"/>
      <c r="K35" s="235"/>
      <c r="L35" s="235"/>
      <c r="M35" s="236">
        <f t="shared" si="1"/>
        <v>0</v>
      </c>
      <c r="N35" s="236"/>
      <c r="O35" s="512"/>
      <c r="P35" s="234" t="s">
        <v>226</v>
      </c>
      <c r="Q35" s="235"/>
      <c r="R35" s="235"/>
      <c r="S35" s="235"/>
      <c r="T35" s="236">
        <f>R35+S35</f>
        <v>0</v>
      </c>
      <c r="U35" s="236"/>
      <c r="V35" s="512"/>
      <c r="W35" s="234" t="s">
        <v>226</v>
      </c>
      <c r="X35" s="235"/>
      <c r="Y35" s="235">
        <f t="shared" ref="Y35:Y69" si="2">X35*$D$7/12</f>
        <v>0</v>
      </c>
      <c r="Z35" s="235"/>
      <c r="AA35" s="236">
        <f>Y35+Z35</f>
        <v>0</v>
      </c>
      <c r="AB35" s="236"/>
      <c r="AC35" s="512"/>
      <c r="AD35" s="234" t="s">
        <v>226</v>
      </c>
      <c r="AE35" s="235"/>
      <c r="AF35" s="235">
        <f t="shared" ref="AF35:AF69" si="3">AE35*$D$7/12</f>
        <v>0</v>
      </c>
      <c r="AG35" s="235"/>
      <c r="AH35" s="236">
        <f>AF35+AG35</f>
        <v>0</v>
      </c>
      <c r="AI35" s="236"/>
      <c r="AK35" s="240"/>
    </row>
    <row r="36" spans="1:37" x14ac:dyDescent="0.2">
      <c r="A36" s="512"/>
      <c r="B36" s="234" t="s">
        <v>227</v>
      </c>
      <c r="C36" s="235"/>
      <c r="D36" s="235"/>
      <c r="E36" s="235"/>
      <c r="F36" s="236">
        <f t="shared" si="0"/>
        <v>0</v>
      </c>
      <c r="G36" s="238"/>
      <c r="H36" s="514"/>
      <c r="I36" s="234" t="s">
        <v>227</v>
      </c>
      <c r="J36" s="235"/>
      <c r="K36" s="235"/>
      <c r="L36" s="235"/>
      <c r="M36" s="236">
        <f t="shared" si="1"/>
        <v>0</v>
      </c>
      <c r="N36" s="236"/>
      <c r="O36" s="512"/>
      <c r="P36" s="234" t="s">
        <v>227</v>
      </c>
      <c r="Q36" s="235"/>
      <c r="R36" s="235"/>
      <c r="S36" s="235"/>
      <c r="T36" s="236">
        <f t="shared" ref="T36:T99" si="4">R36+S36</f>
        <v>0</v>
      </c>
      <c r="U36" s="236"/>
      <c r="V36" s="512"/>
      <c r="W36" s="234" t="s">
        <v>227</v>
      </c>
      <c r="X36" s="235"/>
      <c r="Y36" s="235">
        <f t="shared" si="2"/>
        <v>0</v>
      </c>
      <c r="Z36" s="235"/>
      <c r="AA36" s="236">
        <f t="shared" ref="AA36:AA99" si="5">Y36+Z36</f>
        <v>0</v>
      </c>
      <c r="AB36" s="236"/>
      <c r="AC36" s="512"/>
      <c r="AD36" s="234" t="s">
        <v>227</v>
      </c>
      <c r="AE36" s="235"/>
      <c r="AF36" s="235">
        <f t="shared" si="3"/>
        <v>0</v>
      </c>
      <c r="AG36" s="235"/>
      <c r="AH36" s="236">
        <f t="shared" ref="AH36:AH99" si="6">AF36+AG36</f>
        <v>0</v>
      </c>
      <c r="AI36" s="236"/>
      <c r="AK36" s="240"/>
    </row>
    <row r="37" spans="1:37" x14ac:dyDescent="0.2">
      <c r="A37" s="512"/>
      <c r="B37" s="234" t="s">
        <v>228</v>
      </c>
      <c r="C37" s="235"/>
      <c r="D37" s="235"/>
      <c r="E37" s="235"/>
      <c r="F37" s="236">
        <f t="shared" si="0"/>
        <v>0</v>
      </c>
      <c r="G37" s="238"/>
      <c r="H37" s="514"/>
      <c r="I37" s="234" t="s">
        <v>228</v>
      </c>
      <c r="J37" s="235"/>
      <c r="K37" s="235"/>
      <c r="L37" s="235"/>
      <c r="M37" s="236">
        <f t="shared" si="1"/>
        <v>0</v>
      </c>
      <c r="N37" s="236"/>
      <c r="O37" s="512"/>
      <c r="P37" s="234" t="s">
        <v>228</v>
      </c>
      <c r="Q37" s="235"/>
      <c r="R37" s="235"/>
      <c r="S37" s="235"/>
      <c r="T37" s="236">
        <f t="shared" si="4"/>
        <v>0</v>
      </c>
      <c r="U37" s="236"/>
      <c r="V37" s="512"/>
      <c r="W37" s="234" t="s">
        <v>228</v>
      </c>
      <c r="X37" s="235"/>
      <c r="Y37" s="235">
        <f t="shared" si="2"/>
        <v>0</v>
      </c>
      <c r="Z37" s="235"/>
      <c r="AA37" s="236">
        <f t="shared" si="5"/>
        <v>0</v>
      </c>
      <c r="AB37" s="236"/>
      <c r="AC37" s="512"/>
      <c r="AD37" s="234" t="s">
        <v>228</v>
      </c>
      <c r="AE37" s="235"/>
      <c r="AF37" s="235">
        <f t="shared" si="3"/>
        <v>0</v>
      </c>
      <c r="AG37" s="235"/>
      <c r="AH37" s="236">
        <f t="shared" si="6"/>
        <v>0</v>
      </c>
      <c r="AI37" s="236"/>
      <c r="AK37" s="240"/>
    </row>
    <row r="38" spans="1:37" x14ac:dyDescent="0.2">
      <c r="A38" s="512"/>
      <c r="B38" s="234" t="s">
        <v>229</v>
      </c>
      <c r="C38" s="235"/>
      <c r="D38" s="235"/>
      <c r="E38" s="235"/>
      <c r="F38" s="236">
        <f t="shared" si="0"/>
        <v>0</v>
      </c>
      <c r="G38" s="238"/>
      <c r="H38" s="514"/>
      <c r="I38" s="234" t="s">
        <v>229</v>
      </c>
      <c r="J38" s="235"/>
      <c r="K38" s="235"/>
      <c r="L38" s="235"/>
      <c r="M38" s="236">
        <f t="shared" si="1"/>
        <v>0</v>
      </c>
      <c r="N38" s="236"/>
      <c r="O38" s="512"/>
      <c r="P38" s="234" t="s">
        <v>229</v>
      </c>
      <c r="Q38" s="235"/>
      <c r="R38" s="235"/>
      <c r="S38" s="235"/>
      <c r="T38" s="236">
        <f t="shared" si="4"/>
        <v>0</v>
      </c>
      <c r="U38" s="236"/>
      <c r="V38" s="512"/>
      <c r="W38" s="234" t="s">
        <v>229</v>
      </c>
      <c r="X38" s="235"/>
      <c r="Y38" s="235">
        <f t="shared" si="2"/>
        <v>0</v>
      </c>
      <c r="Z38" s="235"/>
      <c r="AA38" s="236">
        <f t="shared" si="5"/>
        <v>0</v>
      </c>
      <c r="AB38" s="236"/>
      <c r="AC38" s="512"/>
      <c r="AD38" s="234" t="s">
        <v>229</v>
      </c>
      <c r="AE38" s="235"/>
      <c r="AF38" s="235">
        <f t="shared" si="3"/>
        <v>0</v>
      </c>
      <c r="AG38" s="235"/>
      <c r="AH38" s="236">
        <f t="shared" si="6"/>
        <v>0</v>
      </c>
      <c r="AI38" s="236"/>
      <c r="AK38" s="240"/>
    </row>
    <row r="39" spans="1:37" x14ac:dyDescent="0.2">
      <c r="A39" s="512"/>
      <c r="B39" s="234" t="s">
        <v>230</v>
      </c>
      <c r="C39" s="235"/>
      <c r="D39" s="235"/>
      <c r="E39" s="235"/>
      <c r="F39" s="236">
        <f t="shared" si="0"/>
        <v>0</v>
      </c>
      <c r="G39" s="238"/>
      <c r="H39" s="514"/>
      <c r="I39" s="234" t="s">
        <v>230</v>
      </c>
      <c r="J39" s="235"/>
      <c r="K39" s="235"/>
      <c r="L39" s="235"/>
      <c r="M39" s="236">
        <f t="shared" si="1"/>
        <v>0</v>
      </c>
      <c r="N39" s="236"/>
      <c r="O39" s="512"/>
      <c r="P39" s="234" t="s">
        <v>230</v>
      </c>
      <c r="Q39" s="235"/>
      <c r="R39" s="235"/>
      <c r="S39" s="235"/>
      <c r="T39" s="236">
        <f t="shared" si="4"/>
        <v>0</v>
      </c>
      <c r="U39" s="236"/>
      <c r="V39" s="512"/>
      <c r="W39" s="234" t="s">
        <v>230</v>
      </c>
      <c r="X39" s="235"/>
      <c r="Y39" s="235">
        <f t="shared" si="2"/>
        <v>0</v>
      </c>
      <c r="Z39" s="235"/>
      <c r="AA39" s="236">
        <f t="shared" si="5"/>
        <v>0</v>
      </c>
      <c r="AB39" s="236"/>
      <c r="AC39" s="512"/>
      <c r="AD39" s="234" t="s">
        <v>230</v>
      </c>
      <c r="AE39" s="235"/>
      <c r="AF39" s="235">
        <f t="shared" si="3"/>
        <v>0</v>
      </c>
      <c r="AG39" s="235"/>
      <c r="AH39" s="236">
        <f t="shared" si="6"/>
        <v>0</v>
      </c>
      <c r="AI39" s="236"/>
      <c r="AK39" s="240"/>
    </row>
    <row r="40" spans="1:37" x14ac:dyDescent="0.2">
      <c r="A40" s="512"/>
      <c r="B40" s="234" t="s">
        <v>231</v>
      </c>
      <c r="C40" s="235"/>
      <c r="D40" s="235"/>
      <c r="E40" s="235"/>
      <c r="F40" s="236">
        <f t="shared" si="0"/>
        <v>0</v>
      </c>
      <c r="G40" s="238"/>
      <c r="H40" s="514"/>
      <c r="I40" s="234" t="s">
        <v>231</v>
      </c>
      <c r="J40" s="235"/>
      <c r="K40" s="235"/>
      <c r="L40" s="235"/>
      <c r="M40" s="236">
        <f t="shared" si="1"/>
        <v>0</v>
      </c>
      <c r="N40" s="236"/>
      <c r="O40" s="512"/>
      <c r="P40" s="234" t="s">
        <v>231</v>
      </c>
      <c r="Q40" s="235"/>
      <c r="R40" s="235"/>
      <c r="S40" s="235"/>
      <c r="T40" s="236">
        <f t="shared" si="4"/>
        <v>0</v>
      </c>
      <c r="U40" s="236"/>
      <c r="V40" s="512"/>
      <c r="W40" s="234" t="s">
        <v>231</v>
      </c>
      <c r="X40" s="235"/>
      <c r="Y40" s="235">
        <f t="shared" si="2"/>
        <v>0</v>
      </c>
      <c r="Z40" s="235"/>
      <c r="AA40" s="236">
        <f t="shared" si="5"/>
        <v>0</v>
      </c>
      <c r="AB40" s="236"/>
      <c r="AC40" s="512"/>
      <c r="AD40" s="234" t="s">
        <v>231</v>
      </c>
      <c r="AE40" s="235"/>
      <c r="AF40" s="235">
        <f t="shared" si="3"/>
        <v>0</v>
      </c>
      <c r="AG40" s="235"/>
      <c r="AH40" s="236">
        <f t="shared" si="6"/>
        <v>0</v>
      </c>
      <c r="AI40" s="236"/>
      <c r="AK40" s="240"/>
    </row>
    <row r="41" spans="1:37" x14ac:dyDescent="0.2">
      <c r="A41" s="512"/>
      <c r="B41" s="234" t="s">
        <v>232</v>
      </c>
      <c r="C41" s="235"/>
      <c r="D41" s="235"/>
      <c r="E41" s="235"/>
      <c r="F41" s="236">
        <f t="shared" si="0"/>
        <v>0</v>
      </c>
      <c r="G41" s="238"/>
      <c r="H41" s="514"/>
      <c r="I41" s="234" t="s">
        <v>232</v>
      </c>
      <c r="J41" s="235"/>
      <c r="K41" s="235"/>
      <c r="L41" s="235"/>
      <c r="M41" s="236">
        <f t="shared" si="1"/>
        <v>0</v>
      </c>
      <c r="N41" s="236"/>
      <c r="O41" s="512"/>
      <c r="P41" s="234" t="s">
        <v>232</v>
      </c>
      <c r="Q41" s="235"/>
      <c r="R41" s="235"/>
      <c r="S41" s="235"/>
      <c r="T41" s="236">
        <f t="shared" si="4"/>
        <v>0</v>
      </c>
      <c r="U41" s="236"/>
      <c r="V41" s="512"/>
      <c r="W41" s="234" t="s">
        <v>232</v>
      </c>
      <c r="X41" s="235"/>
      <c r="Y41" s="235">
        <f t="shared" si="2"/>
        <v>0</v>
      </c>
      <c r="Z41" s="235"/>
      <c r="AA41" s="236">
        <f t="shared" si="5"/>
        <v>0</v>
      </c>
      <c r="AB41" s="236"/>
      <c r="AC41" s="512"/>
      <c r="AD41" s="234" t="s">
        <v>232</v>
      </c>
      <c r="AE41" s="235"/>
      <c r="AF41" s="235">
        <f t="shared" si="3"/>
        <v>0</v>
      </c>
      <c r="AG41" s="235"/>
      <c r="AH41" s="236">
        <f t="shared" si="6"/>
        <v>0</v>
      </c>
      <c r="AI41" s="236"/>
      <c r="AK41" s="240"/>
    </row>
    <row r="42" spans="1:37" x14ac:dyDescent="0.2">
      <c r="A42" s="512"/>
      <c r="B42" s="234" t="s">
        <v>233</v>
      </c>
      <c r="C42" s="235"/>
      <c r="D42" s="235"/>
      <c r="E42" s="235"/>
      <c r="F42" s="236">
        <f t="shared" si="0"/>
        <v>0</v>
      </c>
      <c r="G42" s="238"/>
      <c r="H42" s="514"/>
      <c r="I42" s="234" t="s">
        <v>233</v>
      </c>
      <c r="J42" s="235"/>
      <c r="K42" s="235"/>
      <c r="L42" s="235"/>
      <c r="M42" s="236">
        <f t="shared" si="1"/>
        <v>0</v>
      </c>
      <c r="N42" s="236"/>
      <c r="O42" s="512"/>
      <c r="P42" s="234" t="s">
        <v>233</v>
      </c>
      <c r="Q42" s="235"/>
      <c r="R42" s="235"/>
      <c r="S42" s="235"/>
      <c r="T42" s="236">
        <f t="shared" si="4"/>
        <v>0</v>
      </c>
      <c r="U42" s="236"/>
      <c r="V42" s="512"/>
      <c r="W42" s="234" t="s">
        <v>233</v>
      </c>
      <c r="X42" s="235"/>
      <c r="Y42" s="235">
        <f t="shared" si="2"/>
        <v>0</v>
      </c>
      <c r="Z42" s="235"/>
      <c r="AA42" s="236">
        <f t="shared" si="5"/>
        <v>0</v>
      </c>
      <c r="AB42" s="236"/>
      <c r="AC42" s="512"/>
      <c r="AD42" s="234" t="s">
        <v>233</v>
      </c>
      <c r="AE42" s="235"/>
      <c r="AF42" s="235">
        <f t="shared" si="3"/>
        <v>0</v>
      </c>
      <c r="AG42" s="235"/>
      <c r="AH42" s="236">
        <f t="shared" si="6"/>
        <v>0</v>
      </c>
      <c r="AI42" s="236"/>
      <c r="AK42" s="240"/>
    </row>
    <row r="43" spans="1:37" x14ac:dyDescent="0.2">
      <c r="A43" s="512"/>
      <c r="B43" s="234" t="s">
        <v>234</v>
      </c>
      <c r="C43" s="235"/>
      <c r="D43" s="235"/>
      <c r="E43" s="235"/>
      <c r="F43" s="236">
        <f t="shared" si="0"/>
        <v>0</v>
      </c>
      <c r="G43" s="238"/>
      <c r="H43" s="514"/>
      <c r="I43" s="234" t="s">
        <v>234</v>
      </c>
      <c r="J43" s="235"/>
      <c r="K43" s="235"/>
      <c r="L43" s="235"/>
      <c r="M43" s="236">
        <f t="shared" si="1"/>
        <v>0</v>
      </c>
      <c r="N43" s="236"/>
      <c r="O43" s="512"/>
      <c r="P43" s="234" t="s">
        <v>234</v>
      </c>
      <c r="Q43" s="235"/>
      <c r="R43" s="235"/>
      <c r="S43" s="235"/>
      <c r="T43" s="236">
        <f t="shared" si="4"/>
        <v>0</v>
      </c>
      <c r="U43" s="236"/>
      <c r="V43" s="512"/>
      <c r="W43" s="234" t="s">
        <v>234</v>
      </c>
      <c r="X43" s="235"/>
      <c r="Y43" s="235">
        <f t="shared" si="2"/>
        <v>0</v>
      </c>
      <c r="Z43" s="235"/>
      <c r="AA43" s="236">
        <f t="shared" si="5"/>
        <v>0</v>
      </c>
      <c r="AB43" s="236"/>
      <c r="AC43" s="512"/>
      <c r="AD43" s="234" t="s">
        <v>234</v>
      </c>
      <c r="AE43" s="235"/>
      <c r="AF43" s="235">
        <f t="shared" si="3"/>
        <v>0</v>
      </c>
      <c r="AG43" s="235"/>
      <c r="AH43" s="236">
        <f t="shared" si="6"/>
        <v>0</v>
      </c>
      <c r="AI43" s="236"/>
      <c r="AK43" s="240"/>
    </row>
    <row r="44" spans="1:37" x14ac:dyDescent="0.2">
      <c r="A44" s="512"/>
      <c r="B44" s="234" t="s">
        <v>235</v>
      </c>
      <c r="C44" s="235"/>
      <c r="D44" s="235"/>
      <c r="E44" s="235"/>
      <c r="F44" s="236">
        <f t="shared" si="0"/>
        <v>0</v>
      </c>
      <c r="G44" s="238"/>
      <c r="H44" s="514"/>
      <c r="I44" s="234" t="s">
        <v>235</v>
      </c>
      <c r="J44" s="235"/>
      <c r="K44" s="235"/>
      <c r="L44" s="235"/>
      <c r="M44" s="236">
        <f t="shared" si="1"/>
        <v>0</v>
      </c>
      <c r="N44" s="236"/>
      <c r="O44" s="512"/>
      <c r="P44" s="234" t="s">
        <v>235</v>
      </c>
      <c r="Q44" s="235"/>
      <c r="R44" s="235"/>
      <c r="S44" s="235"/>
      <c r="T44" s="236">
        <f t="shared" si="4"/>
        <v>0</v>
      </c>
      <c r="U44" s="236"/>
      <c r="V44" s="512"/>
      <c r="W44" s="234" t="s">
        <v>235</v>
      </c>
      <c r="X44" s="235"/>
      <c r="Y44" s="235">
        <f t="shared" si="2"/>
        <v>0</v>
      </c>
      <c r="Z44" s="235"/>
      <c r="AA44" s="236">
        <f t="shared" si="5"/>
        <v>0</v>
      </c>
      <c r="AB44" s="236"/>
      <c r="AC44" s="512"/>
      <c r="AD44" s="234" t="s">
        <v>235</v>
      </c>
      <c r="AE44" s="235"/>
      <c r="AF44" s="235">
        <f t="shared" si="3"/>
        <v>0</v>
      </c>
      <c r="AG44" s="235"/>
      <c r="AH44" s="236">
        <f t="shared" si="6"/>
        <v>0</v>
      </c>
      <c r="AI44" s="236"/>
      <c r="AK44" s="240"/>
    </row>
    <row r="45" spans="1:37" x14ac:dyDescent="0.2">
      <c r="A45" s="512"/>
      <c r="B45" s="234" t="s">
        <v>236</v>
      </c>
      <c r="C45" s="235"/>
      <c r="D45" s="235"/>
      <c r="E45" s="235"/>
      <c r="F45" s="236">
        <f t="shared" si="0"/>
        <v>0</v>
      </c>
      <c r="G45" s="239">
        <f>SUM(D34:D45)</f>
        <v>0</v>
      </c>
      <c r="H45" s="515"/>
      <c r="I45" s="234" t="s">
        <v>236</v>
      </c>
      <c r="J45" s="235"/>
      <c r="K45" s="235"/>
      <c r="L45" s="235"/>
      <c r="M45" s="236">
        <f t="shared" si="1"/>
        <v>0</v>
      </c>
      <c r="N45" s="239">
        <f>SUM(K34:K45)</f>
        <v>0</v>
      </c>
      <c r="O45" s="512"/>
      <c r="P45" s="234" t="s">
        <v>236</v>
      </c>
      <c r="Q45" s="235"/>
      <c r="R45" s="235"/>
      <c r="S45" s="235"/>
      <c r="T45" s="236">
        <f t="shared" si="4"/>
        <v>0</v>
      </c>
      <c r="U45" s="239">
        <f>SUM(R34:R45)</f>
        <v>0</v>
      </c>
      <c r="V45" s="512"/>
      <c r="W45" s="234" t="s">
        <v>236</v>
      </c>
      <c r="X45" s="235"/>
      <c r="Y45" s="235">
        <f t="shared" si="2"/>
        <v>0</v>
      </c>
      <c r="Z45" s="235"/>
      <c r="AA45" s="236">
        <f t="shared" si="5"/>
        <v>0</v>
      </c>
      <c r="AB45" s="239">
        <f>SUM(Y34:Y45)</f>
        <v>0</v>
      </c>
      <c r="AC45" s="512"/>
      <c r="AD45" s="234" t="s">
        <v>236</v>
      </c>
      <c r="AE45" s="235"/>
      <c r="AF45" s="235">
        <f t="shared" si="3"/>
        <v>0</v>
      </c>
      <c r="AG45" s="235"/>
      <c r="AH45" s="236">
        <f t="shared" si="6"/>
        <v>0</v>
      </c>
      <c r="AI45" s="239">
        <f>SUM(AF34:AF45)</f>
        <v>0</v>
      </c>
      <c r="AJ45" s="208">
        <f>AJ33+1</f>
        <v>2024</v>
      </c>
      <c r="AK45" s="240">
        <f>G45+N45+U45+AB45+AI45</f>
        <v>0</v>
      </c>
    </row>
    <row r="46" spans="1:37" x14ac:dyDescent="0.2">
      <c r="A46" s="512">
        <f>A34+1</f>
        <v>2025</v>
      </c>
      <c r="B46" s="234" t="s">
        <v>225</v>
      </c>
      <c r="C46" s="235">
        <f>C7</f>
        <v>8515.7200000000012</v>
      </c>
      <c r="D46" s="235">
        <f t="shared" ref="D46:D109" si="7">C46*$D$7/12</f>
        <v>141.92866666666669</v>
      </c>
      <c r="E46" s="235">
        <f>$C$7/$D$8</f>
        <v>70.964333333333343</v>
      </c>
      <c r="F46" s="236">
        <f t="shared" si="0"/>
        <v>212.89300000000003</v>
      </c>
      <c r="G46" s="237"/>
      <c r="H46" s="513">
        <f>H34+1</f>
        <v>2025</v>
      </c>
      <c r="I46" s="234" t="s">
        <v>225</v>
      </c>
      <c r="J46" s="235">
        <f>J7-J8</f>
        <v>686.88499999999999</v>
      </c>
      <c r="K46" s="235">
        <f t="shared" ref="K46:K109" si="8">J46*$D$7/12</f>
        <v>11.448083333333335</v>
      </c>
      <c r="L46" s="235">
        <f t="shared" ref="L46:L109" si="9">$J$7/$K$8</f>
        <v>5.7240416666666665</v>
      </c>
      <c r="M46" s="236">
        <f t="shared" si="1"/>
        <v>17.172125000000001</v>
      </c>
      <c r="N46" s="236"/>
      <c r="O46" s="512">
        <f>O34+1</f>
        <v>2025</v>
      </c>
      <c r="P46" s="234" t="s">
        <v>225</v>
      </c>
      <c r="Q46" s="235"/>
      <c r="R46" s="235"/>
      <c r="S46" s="235"/>
      <c r="T46" s="236">
        <f t="shared" si="4"/>
        <v>0</v>
      </c>
      <c r="U46" s="236"/>
      <c r="V46" s="512">
        <f>V34+1</f>
        <v>2024</v>
      </c>
      <c r="W46" s="234" t="s">
        <v>225</v>
      </c>
      <c r="X46" s="235"/>
      <c r="Y46" s="235">
        <f t="shared" si="2"/>
        <v>0</v>
      </c>
      <c r="Z46" s="235"/>
      <c r="AA46" s="236">
        <f t="shared" si="5"/>
        <v>0</v>
      </c>
      <c r="AB46" s="236"/>
      <c r="AC46" s="512">
        <f>AC34+1</f>
        <v>2024</v>
      </c>
      <c r="AD46" s="234" t="s">
        <v>225</v>
      </c>
      <c r="AE46" s="235"/>
      <c r="AF46" s="235">
        <f t="shared" si="3"/>
        <v>0</v>
      </c>
      <c r="AG46" s="235"/>
      <c r="AH46" s="236">
        <f t="shared" si="6"/>
        <v>0</v>
      </c>
      <c r="AI46" s="236"/>
      <c r="AK46" s="240"/>
    </row>
    <row r="47" spans="1:37" x14ac:dyDescent="0.2">
      <c r="A47" s="512"/>
      <c r="B47" s="234" t="s">
        <v>226</v>
      </c>
      <c r="C47" s="235">
        <f t="shared" ref="C47:C110" si="10">C46-E46</f>
        <v>8444.7556666666678</v>
      </c>
      <c r="D47" s="235">
        <f t="shared" si="7"/>
        <v>140.74592777777781</v>
      </c>
      <c r="E47" s="235">
        <f t="shared" ref="E47:E67" si="11">$C$7/$D$8</f>
        <v>70.964333333333343</v>
      </c>
      <c r="F47" s="236">
        <f t="shared" si="0"/>
        <v>211.71026111111115</v>
      </c>
      <c r="G47" s="238"/>
      <c r="H47" s="514"/>
      <c r="I47" s="234" t="s">
        <v>226</v>
      </c>
      <c r="J47" s="235">
        <f t="shared" ref="J47:J110" si="12">J46-L46</f>
        <v>681.16095833333327</v>
      </c>
      <c r="K47" s="235">
        <f t="shared" si="8"/>
        <v>11.352682638888888</v>
      </c>
      <c r="L47" s="235">
        <f t="shared" si="9"/>
        <v>5.7240416666666665</v>
      </c>
      <c r="M47" s="236">
        <f t="shared" si="1"/>
        <v>17.076724305555555</v>
      </c>
      <c r="N47" s="236"/>
      <c r="O47" s="512"/>
      <c r="P47" s="234" t="s">
        <v>226</v>
      </c>
      <c r="Q47" s="235"/>
      <c r="R47" s="235"/>
      <c r="S47" s="235"/>
      <c r="T47" s="236">
        <f t="shared" si="4"/>
        <v>0</v>
      </c>
      <c r="U47" s="236"/>
      <c r="V47" s="512"/>
      <c r="W47" s="234" t="s">
        <v>226</v>
      </c>
      <c r="X47" s="235"/>
      <c r="Y47" s="235">
        <f t="shared" si="2"/>
        <v>0</v>
      </c>
      <c r="Z47" s="235"/>
      <c r="AA47" s="236">
        <f t="shared" si="5"/>
        <v>0</v>
      </c>
      <c r="AB47" s="236"/>
      <c r="AC47" s="512"/>
      <c r="AD47" s="234" t="s">
        <v>226</v>
      </c>
      <c r="AE47" s="235"/>
      <c r="AF47" s="235">
        <f t="shared" si="3"/>
        <v>0</v>
      </c>
      <c r="AG47" s="235"/>
      <c r="AH47" s="236">
        <f t="shared" si="6"/>
        <v>0</v>
      </c>
      <c r="AI47" s="236"/>
      <c r="AK47" s="240"/>
    </row>
    <row r="48" spans="1:37" x14ac:dyDescent="0.2">
      <c r="A48" s="512"/>
      <c r="B48" s="234" t="s">
        <v>227</v>
      </c>
      <c r="C48" s="235">
        <f t="shared" si="10"/>
        <v>8373.7913333333345</v>
      </c>
      <c r="D48" s="235">
        <f t="shared" si="7"/>
        <v>139.5631888888889</v>
      </c>
      <c r="E48" s="235">
        <f t="shared" si="11"/>
        <v>70.964333333333343</v>
      </c>
      <c r="F48" s="236">
        <f t="shared" si="0"/>
        <v>210.52752222222225</v>
      </c>
      <c r="G48" s="238"/>
      <c r="H48" s="514"/>
      <c r="I48" s="234" t="s">
        <v>227</v>
      </c>
      <c r="J48" s="235">
        <f t="shared" si="12"/>
        <v>675.43691666666655</v>
      </c>
      <c r="K48" s="235">
        <f t="shared" si="8"/>
        <v>11.257281944444443</v>
      </c>
      <c r="L48" s="235">
        <f t="shared" si="9"/>
        <v>5.7240416666666665</v>
      </c>
      <c r="M48" s="236">
        <f t="shared" si="1"/>
        <v>16.981323611111108</v>
      </c>
      <c r="N48" s="236"/>
      <c r="O48" s="512"/>
      <c r="P48" s="234" t="s">
        <v>227</v>
      </c>
      <c r="Q48" s="235"/>
      <c r="R48" s="235"/>
      <c r="S48" s="235"/>
      <c r="T48" s="236">
        <f t="shared" si="4"/>
        <v>0</v>
      </c>
      <c r="U48" s="236"/>
      <c r="V48" s="512"/>
      <c r="W48" s="234" t="s">
        <v>227</v>
      </c>
      <c r="X48" s="235"/>
      <c r="Y48" s="235">
        <f t="shared" si="2"/>
        <v>0</v>
      </c>
      <c r="Z48" s="235"/>
      <c r="AA48" s="236">
        <f t="shared" si="5"/>
        <v>0</v>
      </c>
      <c r="AB48" s="236"/>
      <c r="AC48" s="512"/>
      <c r="AD48" s="234" t="s">
        <v>227</v>
      </c>
      <c r="AE48" s="235"/>
      <c r="AF48" s="235">
        <f t="shared" si="3"/>
        <v>0</v>
      </c>
      <c r="AG48" s="235"/>
      <c r="AH48" s="236">
        <f t="shared" si="6"/>
        <v>0</v>
      </c>
      <c r="AI48" s="236"/>
      <c r="AK48" s="240"/>
    </row>
    <row r="49" spans="1:37" x14ac:dyDescent="0.2">
      <c r="A49" s="512"/>
      <c r="B49" s="234" t="s">
        <v>228</v>
      </c>
      <c r="C49" s="235">
        <f t="shared" si="10"/>
        <v>8302.8270000000011</v>
      </c>
      <c r="D49" s="235">
        <f t="shared" si="7"/>
        <v>138.38045000000002</v>
      </c>
      <c r="E49" s="235">
        <f t="shared" si="11"/>
        <v>70.964333333333343</v>
      </c>
      <c r="F49" s="236">
        <f t="shared" si="0"/>
        <v>209.34478333333337</v>
      </c>
      <c r="G49" s="238"/>
      <c r="H49" s="514"/>
      <c r="I49" s="234" t="s">
        <v>228</v>
      </c>
      <c r="J49" s="235">
        <f t="shared" si="12"/>
        <v>669.71287499999983</v>
      </c>
      <c r="K49" s="235">
        <f t="shared" si="8"/>
        <v>11.161881249999999</v>
      </c>
      <c r="L49" s="235">
        <f t="shared" si="9"/>
        <v>5.7240416666666665</v>
      </c>
      <c r="M49" s="236">
        <f t="shared" si="1"/>
        <v>16.885922916666665</v>
      </c>
      <c r="N49" s="236"/>
      <c r="O49" s="512"/>
      <c r="P49" s="234" t="s">
        <v>228</v>
      </c>
      <c r="Q49" s="235"/>
      <c r="R49" s="235"/>
      <c r="S49" s="235"/>
      <c r="T49" s="236">
        <f t="shared" si="4"/>
        <v>0</v>
      </c>
      <c r="U49" s="236"/>
      <c r="V49" s="512"/>
      <c r="W49" s="234" t="s">
        <v>228</v>
      </c>
      <c r="X49" s="235"/>
      <c r="Y49" s="235">
        <f t="shared" si="2"/>
        <v>0</v>
      </c>
      <c r="Z49" s="235"/>
      <c r="AA49" s="236">
        <f t="shared" si="5"/>
        <v>0</v>
      </c>
      <c r="AB49" s="236"/>
      <c r="AC49" s="512"/>
      <c r="AD49" s="234" t="s">
        <v>228</v>
      </c>
      <c r="AE49" s="235"/>
      <c r="AF49" s="235">
        <f t="shared" si="3"/>
        <v>0</v>
      </c>
      <c r="AG49" s="235"/>
      <c r="AH49" s="236">
        <f t="shared" si="6"/>
        <v>0</v>
      </c>
      <c r="AI49" s="236"/>
      <c r="AK49" s="240"/>
    </row>
    <row r="50" spans="1:37" x14ac:dyDescent="0.2">
      <c r="A50" s="512"/>
      <c r="B50" s="234" t="s">
        <v>229</v>
      </c>
      <c r="C50" s="235">
        <f t="shared" si="10"/>
        <v>8231.8626666666678</v>
      </c>
      <c r="D50" s="235">
        <f t="shared" si="7"/>
        <v>137.19771111111115</v>
      </c>
      <c r="E50" s="235">
        <f t="shared" si="11"/>
        <v>70.964333333333343</v>
      </c>
      <c r="F50" s="236">
        <f t="shared" si="0"/>
        <v>208.16204444444449</v>
      </c>
      <c r="G50" s="238"/>
      <c r="H50" s="514"/>
      <c r="I50" s="234" t="s">
        <v>229</v>
      </c>
      <c r="J50" s="235">
        <f t="shared" si="12"/>
        <v>663.9888333333331</v>
      </c>
      <c r="K50" s="235">
        <f t="shared" si="8"/>
        <v>11.066480555555552</v>
      </c>
      <c r="L50" s="235">
        <f t="shared" si="9"/>
        <v>5.7240416666666665</v>
      </c>
      <c r="M50" s="236">
        <f t="shared" si="1"/>
        <v>16.790522222222219</v>
      </c>
      <c r="N50" s="236"/>
      <c r="O50" s="512"/>
      <c r="P50" s="234" t="s">
        <v>229</v>
      </c>
      <c r="Q50" s="235"/>
      <c r="R50" s="235"/>
      <c r="S50" s="235"/>
      <c r="T50" s="236">
        <f t="shared" si="4"/>
        <v>0</v>
      </c>
      <c r="U50" s="236"/>
      <c r="V50" s="512"/>
      <c r="W50" s="234" t="s">
        <v>229</v>
      </c>
      <c r="X50" s="235"/>
      <c r="Y50" s="235">
        <f t="shared" si="2"/>
        <v>0</v>
      </c>
      <c r="Z50" s="235"/>
      <c r="AA50" s="236">
        <f t="shared" si="5"/>
        <v>0</v>
      </c>
      <c r="AB50" s="236"/>
      <c r="AC50" s="512"/>
      <c r="AD50" s="234" t="s">
        <v>229</v>
      </c>
      <c r="AE50" s="235"/>
      <c r="AF50" s="235">
        <f t="shared" si="3"/>
        <v>0</v>
      </c>
      <c r="AG50" s="235"/>
      <c r="AH50" s="236">
        <f t="shared" si="6"/>
        <v>0</v>
      </c>
      <c r="AI50" s="236"/>
      <c r="AK50" s="240"/>
    </row>
    <row r="51" spans="1:37" x14ac:dyDescent="0.2">
      <c r="A51" s="512"/>
      <c r="B51" s="234" t="s">
        <v>230</v>
      </c>
      <c r="C51" s="235">
        <f t="shared" si="10"/>
        <v>8160.8983333333344</v>
      </c>
      <c r="D51" s="235">
        <f t="shared" si="7"/>
        <v>136.01497222222224</v>
      </c>
      <c r="E51" s="235">
        <f t="shared" si="11"/>
        <v>70.964333333333343</v>
      </c>
      <c r="F51" s="236">
        <f t="shared" si="0"/>
        <v>206.97930555555558</v>
      </c>
      <c r="G51" s="238"/>
      <c r="H51" s="514"/>
      <c r="I51" s="234" t="s">
        <v>230</v>
      </c>
      <c r="J51" s="235">
        <f t="shared" si="12"/>
        <v>658.26479166666638</v>
      </c>
      <c r="K51" s="235">
        <f t="shared" si="8"/>
        <v>10.971079861111107</v>
      </c>
      <c r="L51" s="235">
        <f t="shared" si="9"/>
        <v>5.7240416666666665</v>
      </c>
      <c r="M51" s="236">
        <f t="shared" si="1"/>
        <v>16.695121527777772</v>
      </c>
      <c r="N51" s="236"/>
      <c r="O51" s="512"/>
      <c r="P51" s="234" t="s">
        <v>230</v>
      </c>
      <c r="Q51" s="235"/>
      <c r="R51" s="235"/>
      <c r="S51" s="235"/>
      <c r="T51" s="236">
        <f t="shared" si="4"/>
        <v>0</v>
      </c>
      <c r="U51" s="236"/>
      <c r="V51" s="512"/>
      <c r="W51" s="234" t="s">
        <v>230</v>
      </c>
      <c r="X51" s="235"/>
      <c r="Y51" s="235">
        <f t="shared" si="2"/>
        <v>0</v>
      </c>
      <c r="Z51" s="235"/>
      <c r="AA51" s="236">
        <f t="shared" si="5"/>
        <v>0</v>
      </c>
      <c r="AB51" s="236"/>
      <c r="AC51" s="512"/>
      <c r="AD51" s="234" t="s">
        <v>230</v>
      </c>
      <c r="AE51" s="235"/>
      <c r="AF51" s="235">
        <f t="shared" si="3"/>
        <v>0</v>
      </c>
      <c r="AG51" s="235"/>
      <c r="AH51" s="236">
        <f t="shared" si="6"/>
        <v>0</v>
      </c>
      <c r="AI51" s="236"/>
      <c r="AK51" s="240"/>
    </row>
    <row r="52" spans="1:37" x14ac:dyDescent="0.2">
      <c r="A52" s="512"/>
      <c r="B52" s="234" t="s">
        <v>231</v>
      </c>
      <c r="C52" s="235">
        <f t="shared" si="10"/>
        <v>8089.9340000000011</v>
      </c>
      <c r="D52" s="235">
        <f t="shared" si="7"/>
        <v>134.83223333333336</v>
      </c>
      <c r="E52" s="235">
        <f t="shared" si="11"/>
        <v>70.964333333333343</v>
      </c>
      <c r="F52" s="236">
        <f t="shared" si="0"/>
        <v>205.79656666666671</v>
      </c>
      <c r="G52" s="238"/>
      <c r="H52" s="514"/>
      <c r="I52" s="234" t="s">
        <v>231</v>
      </c>
      <c r="J52" s="235">
        <f t="shared" si="12"/>
        <v>652.54074999999966</v>
      </c>
      <c r="K52" s="235">
        <f t="shared" si="8"/>
        <v>10.875679166666663</v>
      </c>
      <c r="L52" s="235">
        <f t="shared" si="9"/>
        <v>5.7240416666666665</v>
      </c>
      <c r="M52" s="236">
        <f t="shared" si="1"/>
        <v>16.599720833333329</v>
      </c>
      <c r="N52" s="236"/>
      <c r="O52" s="512"/>
      <c r="P52" s="234" t="s">
        <v>231</v>
      </c>
      <c r="Q52" s="235"/>
      <c r="R52" s="235"/>
      <c r="S52" s="235"/>
      <c r="T52" s="236">
        <f t="shared" si="4"/>
        <v>0</v>
      </c>
      <c r="U52" s="236"/>
      <c r="V52" s="512"/>
      <c r="W52" s="234" t="s">
        <v>231</v>
      </c>
      <c r="X52" s="235"/>
      <c r="Y52" s="235">
        <f t="shared" si="2"/>
        <v>0</v>
      </c>
      <c r="Z52" s="235"/>
      <c r="AA52" s="236">
        <f t="shared" si="5"/>
        <v>0</v>
      </c>
      <c r="AB52" s="236"/>
      <c r="AC52" s="512"/>
      <c r="AD52" s="234" t="s">
        <v>231</v>
      </c>
      <c r="AE52" s="235"/>
      <c r="AF52" s="235">
        <f t="shared" si="3"/>
        <v>0</v>
      </c>
      <c r="AG52" s="235"/>
      <c r="AH52" s="236">
        <f t="shared" si="6"/>
        <v>0</v>
      </c>
      <c r="AI52" s="236"/>
      <c r="AK52" s="240"/>
    </row>
    <row r="53" spans="1:37" x14ac:dyDescent="0.2">
      <c r="A53" s="512"/>
      <c r="B53" s="234" t="s">
        <v>232</v>
      </c>
      <c r="C53" s="235">
        <f t="shared" si="10"/>
        <v>8018.9696666666678</v>
      </c>
      <c r="D53" s="235">
        <f t="shared" si="7"/>
        <v>133.64949444444446</v>
      </c>
      <c r="E53" s="235">
        <f t="shared" si="11"/>
        <v>70.964333333333343</v>
      </c>
      <c r="F53" s="236">
        <f t="shared" si="0"/>
        <v>204.6138277777778</v>
      </c>
      <c r="G53" s="238"/>
      <c r="H53" s="514"/>
      <c r="I53" s="234" t="s">
        <v>232</v>
      </c>
      <c r="J53" s="235">
        <f t="shared" si="12"/>
        <v>646.81670833333294</v>
      </c>
      <c r="K53" s="235">
        <f t="shared" si="8"/>
        <v>10.780278472222216</v>
      </c>
      <c r="L53" s="235">
        <f t="shared" si="9"/>
        <v>5.7240416666666665</v>
      </c>
      <c r="M53" s="236">
        <f t="shared" si="1"/>
        <v>16.504320138888882</v>
      </c>
      <c r="N53" s="236"/>
      <c r="O53" s="512"/>
      <c r="P53" s="234" t="s">
        <v>232</v>
      </c>
      <c r="Q53" s="235"/>
      <c r="R53" s="235"/>
      <c r="S53" s="235"/>
      <c r="T53" s="236">
        <f t="shared" si="4"/>
        <v>0</v>
      </c>
      <c r="U53" s="236"/>
      <c r="V53" s="512"/>
      <c r="W53" s="234" t="s">
        <v>232</v>
      </c>
      <c r="X53" s="235"/>
      <c r="Y53" s="235">
        <f t="shared" si="2"/>
        <v>0</v>
      </c>
      <c r="Z53" s="235"/>
      <c r="AA53" s="236">
        <f t="shared" si="5"/>
        <v>0</v>
      </c>
      <c r="AB53" s="236"/>
      <c r="AC53" s="512"/>
      <c r="AD53" s="234" t="s">
        <v>232</v>
      </c>
      <c r="AE53" s="235"/>
      <c r="AF53" s="235">
        <f t="shared" si="3"/>
        <v>0</v>
      </c>
      <c r="AG53" s="235"/>
      <c r="AH53" s="236">
        <f t="shared" si="6"/>
        <v>0</v>
      </c>
      <c r="AI53" s="236"/>
      <c r="AK53" s="240"/>
    </row>
    <row r="54" spans="1:37" x14ac:dyDescent="0.2">
      <c r="A54" s="512"/>
      <c r="B54" s="234" t="s">
        <v>233</v>
      </c>
      <c r="C54" s="235">
        <f t="shared" si="10"/>
        <v>7948.0053333333344</v>
      </c>
      <c r="D54" s="235">
        <f t="shared" si="7"/>
        <v>132.46675555555558</v>
      </c>
      <c r="E54" s="235">
        <f t="shared" si="11"/>
        <v>70.964333333333343</v>
      </c>
      <c r="F54" s="236">
        <f t="shared" si="0"/>
        <v>203.43108888888892</v>
      </c>
      <c r="G54" s="238"/>
      <c r="H54" s="514"/>
      <c r="I54" s="234" t="s">
        <v>233</v>
      </c>
      <c r="J54" s="235">
        <f t="shared" si="12"/>
        <v>641.09266666666622</v>
      </c>
      <c r="K54" s="235">
        <f t="shared" si="8"/>
        <v>10.684877777777771</v>
      </c>
      <c r="L54" s="235">
        <f t="shared" si="9"/>
        <v>5.7240416666666665</v>
      </c>
      <c r="M54" s="236">
        <f t="shared" si="1"/>
        <v>16.408919444444436</v>
      </c>
      <c r="N54" s="236"/>
      <c r="O54" s="512"/>
      <c r="P54" s="234" t="s">
        <v>233</v>
      </c>
      <c r="Q54" s="235"/>
      <c r="R54" s="235"/>
      <c r="S54" s="235"/>
      <c r="T54" s="236">
        <f t="shared" si="4"/>
        <v>0</v>
      </c>
      <c r="U54" s="236"/>
      <c r="V54" s="512"/>
      <c r="W54" s="234" t="s">
        <v>233</v>
      </c>
      <c r="X54" s="235"/>
      <c r="Y54" s="235">
        <f t="shared" si="2"/>
        <v>0</v>
      </c>
      <c r="Z54" s="235"/>
      <c r="AA54" s="236">
        <f t="shared" si="5"/>
        <v>0</v>
      </c>
      <c r="AB54" s="236"/>
      <c r="AC54" s="512"/>
      <c r="AD54" s="234" t="s">
        <v>233</v>
      </c>
      <c r="AE54" s="235"/>
      <c r="AF54" s="235">
        <f t="shared" si="3"/>
        <v>0</v>
      </c>
      <c r="AG54" s="235"/>
      <c r="AH54" s="236">
        <f t="shared" si="6"/>
        <v>0</v>
      </c>
      <c r="AI54" s="236"/>
      <c r="AK54" s="240"/>
    </row>
    <row r="55" spans="1:37" x14ac:dyDescent="0.2">
      <c r="A55" s="512"/>
      <c r="B55" s="234" t="s">
        <v>234</v>
      </c>
      <c r="C55" s="235">
        <f t="shared" si="10"/>
        <v>7877.0410000000011</v>
      </c>
      <c r="D55" s="235">
        <f t="shared" si="7"/>
        <v>131.2840166666667</v>
      </c>
      <c r="E55" s="235">
        <f t="shared" si="11"/>
        <v>70.964333333333343</v>
      </c>
      <c r="F55" s="236">
        <f t="shared" si="0"/>
        <v>202.24835000000004</v>
      </c>
      <c r="G55" s="238"/>
      <c r="H55" s="514"/>
      <c r="I55" s="234" t="s">
        <v>234</v>
      </c>
      <c r="J55" s="235">
        <f t="shared" si="12"/>
        <v>635.3686249999995</v>
      </c>
      <c r="K55" s="235">
        <f t="shared" si="8"/>
        <v>10.589477083333326</v>
      </c>
      <c r="L55" s="235">
        <f t="shared" si="9"/>
        <v>5.7240416666666665</v>
      </c>
      <c r="M55" s="236">
        <f t="shared" si="1"/>
        <v>16.313518749999993</v>
      </c>
      <c r="N55" s="236"/>
      <c r="O55" s="512"/>
      <c r="P55" s="234" t="s">
        <v>234</v>
      </c>
      <c r="Q55" s="235"/>
      <c r="R55" s="235"/>
      <c r="S55" s="235"/>
      <c r="T55" s="236">
        <f t="shared" si="4"/>
        <v>0</v>
      </c>
      <c r="U55" s="236"/>
      <c r="V55" s="512"/>
      <c r="W55" s="234" t="s">
        <v>234</v>
      </c>
      <c r="X55" s="235"/>
      <c r="Y55" s="235">
        <f t="shared" si="2"/>
        <v>0</v>
      </c>
      <c r="Z55" s="235"/>
      <c r="AA55" s="236">
        <f t="shared" si="5"/>
        <v>0</v>
      </c>
      <c r="AB55" s="236"/>
      <c r="AC55" s="512"/>
      <c r="AD55" s="234" t="s">
        <v>234</v>
      </c>
      <c r="AE55" s="235"/>
      <c r="AF55" s="235">
        <f t="shared" si="3"/>
        <v>0</v>
      </c>
      <c r="AG55" s="235"/>
      <c r="AH55" s="236">
        <f t="shared" si="6"/>
        <v>0</v>
      </c>
      <c r="AI55" s="236"/>
      <c r="AK55" s="240"/>
    </row>
    <row r="56" spans="1:37" x14ac:dyDescent="0.2">
      <c r="A56" s="512"/>
      <c r="B56" s="234" t="s">
        <v>235</v>
      </c>
      <c r="C56" s="235">
        <f t="shared" si="10"/>
        <v>7806.0766666666677</v>
      </c>
      <c r="D56" s="235">
        <f t="shared" si="7"/>
        <v>130.1012777777778</v>
      </c>
      <c r="E56" s="235">
        <f t="shared" si="11"/>
        <v>70.964333333333343</v>
      </c>
      <c r="F56" s="236">
        <f t="shared" si="0"/>
        <v>201.06561111111114</v>
      </c>
      <c r="G56" s="238"/>
      <c r="H56" s="514"/>
      <c r="I56" s="234" t="s">
        <v>235</v>
      </c>
      <c r="J56" s="235">
        <f t="shared" si="12"/>
        <v>629.64458333333278</v>
      </c>
      <c r="K56" s="235">
        <f t="shared" si="8"/>
        <v>10.49407638888888</v>
      </c>
      <c r="L56" s="235">
        <f t="shared" si="9"/>
        <v>5.7240416666666665</v>
      </c>
      <c r="M56" s="236">
        <f t="shared" si="1"/>
        <v>16.218118055555546</v>
      </c>
      <c r="N56" s="236"/>
      <c r="O56" s="512"/>
      <c r="P56" s="234" t="s">
        <v>235</v>
      </c>
      <c r="Q56" s="235"/>
      <c r="R56" s="235"/>
      <c r="S56" s="235"/>
      <c r="T56" s="236">
        <f t="shared" si="4"/>
        <v>0</v>
      </c>
      <c r="U56" s="236"/>
      <c r="V56" s="512"/>
      <c r="W56" s="234" t="s">
        <v>235</v>
      </c>
      <c r="X56" s="235"/>
      <c r="Y56" s="235">
        <f t="shared" si="2"/>
        <v>0</v>
      </c>
      <c r="Z56" s="235"/>
      <c r="AA56" s="236">
        <f t="shared" si="5"/>
        <v>0</v>
      </c>
      <c r="AB56" s="236"/>
      <c r="AC56" s="512"/>
      <c r="AD56" s="234" t="s">
        <v>235</v>
      </c>
      <c r="AE56" s="235"/>
      <c r="AF56" s="235">
        <f t="shared" si="3"/>
        <v>0</v>
      </c>
      <c r="AG56" s="235"/>
      <c r="AH56" s="236">
        <f t="shared" si="6"/>
        <v>0</v>
      </c>
      <c r="AI56" s="236"/>
      <c r="AK56" s="240"/>
    </row>
    <row r="57" spans="1:37" x14ac:dyDescent="0.2">
      <c r="A57" s="512"/>
      <c r="B57" s="234" t="s">
        <v>236</v>
      </c>
      <c r="C57" s="235">
        <f t="shared" si="10"/>
        <v>7735.1123333333344</v>
      </c>
      <c r="D57" s="235">
        <f t="shared" si="7"/>
        <v>128.91853888888892</v>
      </c>
      <c r="E57" s="235">
        <f t="shared" si="11"/>
        <v>70.964333333333343</v>
      </c>
      <c r="F57" s="236">
        <f t="shared" si="0"/>
        <v>199.88287222222226</v>
      </c>
      <c r="G57" s="239">
        <f>SUM(D46:D57)</f>
        <v>1625.0832333333335</v>
      </c>
      <c r="H57" s="515"/>
      <c r="I57" s="234" t="s">
        <v>236</v>
      </c>
      <c r="J57" s="235">
        <f t="shared" si="12"/>
        <v>623.92054166666605</v>
      </c>
      <c r="K57" s="235">
        <f t="shared" si="8"/>
        <v>10.398675694444435</v>
      </c>
      <c r="L57" s="235">
        <f t="shared" si="9"/>
        <v>5.7240416666666665</v>
      </c>
      <c r="M57" s="236">
        <f t="shared" si="1"/>
        <v>16.1227173611111</v>
      </c>
      <c r="N57" s="239">
        <f>SUM(K46:K57)</f>
        <v>131.08055416666662</v>
      </c>
      <c r="O57" s="512"/>
      <c r="P57" s="234" t="s">
        <v>236</v>
      </c>
      <c r="Q57" s="235"/>
      <c r="R57" s="235"/>
      <c r="S57" s="235"/>
      <c r="T57" s="236">
        <f t="shared" si="4"/>
        <v>0</v>
      </c>
      <c r="U57" s="239">
        <f>SUM(R46:R57)</f>
        <v>0</v>
      </c>
      <c r="V57" s="512"/>
      <c r="W57" s="234" t="s">
        <v>236</v>
      </c>
      <c r="X57" s="235"/>
      <c r="Y57" s="235">
        <f t="shared" si="2"/>
        <v>0</v>
      </c>
      <c r="Z57" s="235"/>
      <c r="AA57" s="236">
        <f t="shared" si="5"/>
        <v>0</v>
      </c>
      <c r="AB57" s="239">
        <f>SUM(Y46:Y57)</f>
        <v>0</v>
      </c>
      <c r="AC57" s="512"/>
      <c r="AD57" s="234" t="s">
        <v>236</v>
      </c>
      <c r="AE57" s="235"/>
      <c r="AF57" s="235">
        <f t="shared" si="3"/>
        <v>0</v>
      </c>
      <c r="AG57" s="235"/>
      <c r="AH57" s="236">
        <f t="shared" si="6"/>
        <v>0</v>
      </c>
      <c r="AI57" s="239">
        <f>SUM(AF46:AF57)</f>
        <v>0</v>
      </c>
      <c r="AJ57" s="208">
        <f>AJ45+1</f>
        <v>2025</v>
      </c>
      <c r="AK57" s="240">
        <f>G57+N57+U57+AB57+AI57</f>
        <v>1756.1637875000001</v>
      </c>
    </row>
    <row r="58" spans="1:37" x14ac:dyDescent="0.2">
      <c r="A58" s="512">
        <f>A46+1</f>
        <v>2026</v>
      </c>
      <c r="B58" s="234" t="s">
        <v>225</v>
      </c>
      <c r="C58" s="235">
        <f t="shared" si="10"/>
        <v>7664.148000000001</v>
      </c>
      <c r="D58" s="235">
        <f t="shared" si="7"/>
        <v>127.73580000000003</v>
      </c>
      <c r="E58" s="235">
        <f t="shared" si="11"/>
        <v>70.964333333333343</v>
      </c>
      <c r="F58" s="236">
        <f t="shared" si="0"/>
        <v>198.70013333333338</v>
      </c>
      <c r="G58" s="237"/>
      <c r="H58" s="513">
        <f>H46+1</f>
        <v>2026</v>
      </c>
      <c r="I58" s="234" t="s">
        <v>225</v>
      </c>
      <c r="J58" s="235">
        <f t="shared" si="12"/>
        <v>618.19649999999933</v>
      </c>
      <c r="K58" s="235">
        <f t="shared" si="8"/>
        <v>10.30327499999999</v>
      </c>
      <c r="L58" s="235">
        <f t="shared" si="9"/>
        <v>5.7240416666666665</v>
      </c>
      <c r="M58" s="236">
        <f t="shared" si="1"/>
        <v>16.027316666666657</v>
      </c>
      <c r="N58" s="236"/>
      <c r="O58" s="512">
        <f>O46+1</f>
        <v>2026</v>
      </c>
      <c r="P58" s="234" t="s">
        <v>225</v>
      </c>
      <c r="Q58" s="235">
        <f>Q7-Q8</f>
        <v>1655.5319999999999</v>
      </c>
      <c r="R58" s="235">
        <f t="shared" ref="R58:R121" si="13">Q58*$D$7/12</f>
        <v>27.592200000000002</v>
      </c>
      <c r="S58" s="235">
        <f t="shared" ref="S58:S121" si="14">$Q$7/R$8</f>
        <v>13.796099999999999</v>
      </c>
      <c r="T58" s="236">
        <f t="shared" si="4"/>
        <v>41.388300000000001</v>
      </c>
      <c r="U58" s="236"/>
      <c r="V58" s="512">
        <f>V46+1</f>
        <v>2025</v>
      </c>
      <c r="W58" s="234" t="s">
        <v>225</v>
      </c>
      <c r="X58" s="235"/>
      <c r="Y58" s="235">
        <f t="shared" si="2"/>
        <v>0</v>
      </c>
      <c r="Z58" s="235"/>
      <c r="AA58" s="236">
        <f t="shared" si="5"/>
        <v>0</v>
      </c>
      <c r="AB58" s="236"/>
      <c r="AC58" s="512">
        <f>AC46+1</f>
        <v>2025</v>
      </c>
      <c r="AD58" s="234" t="s">
        <v>225</v>
      </c>
      <c r="AE58" s="235"/>
      <c r="AF58" s="235">
        <f t="shared" si="3"/>
        <v>0</v>
      </c>
      <c r="AG58" s="235"/>
      <c r="AH58" s="236">
        <f t="shared" si="6"/>
        <v>0</v>
      </c>
      <c r="AI58" s="236"/>
      <c r="AK58" s="240"/>
    </row>
    <row r="59" spans="1:37" x14ac:dyDescent="0.2">
      <c r="A59" s="512"/>
      <c r="B59" s="234" t="s">
        <v>226</v>
      </c>
      <c r="C59" s="235">
        <f t="shared" si="10"/>
        <v>7593.1836666666677</v>
      </c>
      <c r="D59" s="235">
        <f t="shared" si="7"/>
        <v>126.55306111111115</v>
      </c>
      <c r="E59" s="235">
        <f t="shared" si="11"/>
        <v>70.964333333333343</v>
      </c>
      <c r="F59" s="236">
        <f t="shared" si="0"/>
        <v>197.51739444444451</v>
      </c>
      <c r="G59" s="238"/>
      <c r="H59" s="514"/>
      <c r="I59" s="234" t="s">
        <v>226</v>
      </c>
      <c r="J59" s="235">
        <f t="shared" si="12"/>
        <v>612.47245833333261</v>
      </c>
      <c r="K59" s="235">
        <f t="shared" si="8"/>
        <v>10.207874305555544</v>
      </c>
      <c r="L59" s="235">
        <f t="shared" si="9"/>
        <v>5.7240416666666665</v>
      </c>
      <c r="M59" s="236">
        <f t="shared" si="1"/>
        <v>15.93191597222221</v>
      </c>
      <c r="N59" s="236"/>
      <c r="O59" s="512"/>
      <c r="P59" s="234" t="s">
        <v>226</v>
      </c>
      <c r="Q59" s="235">
        <f t="shared" ref="Q59:Q122" si="15">Q58-S58</f>
        <v>1641.7358999999999</v>
      </c>
      <c r="R59" s="235">
        <f t="shared" si="13"/>
        <v>27.362264999999997</v>
      </c>
      <c r="S59" s="235">
        <f t="shared" si="14"/>
        <v>13.796099999999999</v>
      </c>
      <c r="T59" s="236">
        <f t="shared" si="4"/>
        <v>41.158364999999996</v>
      </c>
      <c r="U59" s="236"/>
      <c r="V59" s="512"/>
      <c r="W59" s="234" t="s">
        <v>226</v>
      </c>
      <c r="X59" s="235"/>
      <c r="Y59" s="235">
        <f t="shared" si="2"/>
        <v>0</v>
      </c>
      <c r="Z59" s="235"/>
      <c r="AA59" s="236">
        <f t="shared" si="5"/>
        <v>0</v>
      </c>
      <c r="AB59" s="236"/>
      <c r="AC59" s="512"/>
      <c r="AD59" s="234" t="s">
        <v>226</v>
      </c>
      <c r="AE59" s="235"/>
      <c r="AF59" s="235">
        <f t="shared" si="3"/>
        <v>0</v>
      </c>
      <c r="AG59" s="235"/>
      <c r="AH59" s="236">
        <f t="shared" si="6"/>
        <v>0</v>
      </c>
      <c r="AI59" s="236"/>
      <c r="AK59" s="240"/>
    </row>
    <row r="60" spans="1:37" x14ac:dyDescent="0.2">
      <c r="A60" s="512"/>
      <c r="B60" s="234" t="s">
        <v>227</v>
      </c>
      <c r="C60" s="235">
        <f t="shared" si="10"/>
        <v>7522.2193333333344</v>
      </c>
      <c r="D60" s="235">
        <f t="shared" si="7"/>
        <v>125.37032222222224</v>
      </c>
      <c r="E60" s="235">
        <f t="shared" si="11"/>
        <v>70.964333333333343</v>
      </c>
      <c r="F60" s="236">
        <f t="shared" si="0"/>
        <v>196.33465555555557</v>
      </c>
      <c r="G60" s="238"/>
      <c r="H60" s="514"/>
      <c r="I60" s="234" t="s">
        <v>227</v>
      </c>
      <c r="J60" s="235">
        <f t="shared" si="12"/>
        <v>606.74841666666589</v>
      </c>
      <c r="K60" s="235">
        <f t="shared" si="8"/>
        <v>10.112473611111099</v>
      </c>
      <c r="L60" s="235">
        <f t="shared" si="9"/>
        <v>5.7240416666666665</v>
      </c>
      <c r="M60" s="236">
        <f t="shared" si="1"/>
        <v>15.836515277777766</v>
      </c>
      <c r="N60" s="236"/>
      <c r="O60" s="512"/>
      <c r="P60" s="234" t="s">
        <v>227</v>
      </c>
      <c r="Q60" s="235">
        <f t="shared" si="15"/>
        <v>1627.9397999999999</v>
      </c>
      <c r="R60" s="235">
        <f t="shared" si="13"/>
        <v>27.13233</v>
      </c>
      <c r="S60" s="235">
        <f t="shared" si="14"/>
        <v>13.796099999999999</v>
      </c>
      <c r="T60" s="236">
        <f t="shared" si="4"/>
        <v>40.928429999999999</v>
      </c>
      <c r="U60" s="236"/>
      <c r="V60" s="512"/>
      <c r="W60" s="234" t="s">
        <v>227</v>
      </c>
      <c r="X60" s="235"/>
      <c r="Y60" s="235">
        <f t="shared" si="2"/>
        <v>0</v>
      </c>
      <c r="Z60" s="235"/>
      <c r="AA60" s="236">
        <f t="shared" si="5"/>
        <v>0</v>
      </c>
      <c r="AB60" s="236"/>
      <c r="AC60" s="512"/>
      <c r="AD60" s="234" t="s">
        <v>227</v>
      </c>
      <c r="AE60" s="235"/>
      <c r="AF60" s="235">
        <f t="shared" si="3"/>
        <v>0</v>
      </c>
      <c r="AG60" s="235"/>
      <c r="AH60" s="236">
        <f t="shared" si="6"/>
        <v>0</v>
      </c>
      <c r="AI60" s="236"/>
      <c r="AK60" s="240"/>
    </row>
    <row r="61" spans="1:37" x14ac:dyDescent="0.2">
      <c r="A61" s="512"/>
      <c r="B61" s="234" t="s">
        <v>228</v>
      </c>
      <c r="C61" s="235">
        <f t="shared" si="10"/>
        <v>7451.255000000001</v>
      </c>
      <c r="D61" s="235">
        <f t="shared" si="7"/>
        <v>124.18758333333335</v>
      </c>
      <c r="E61" s="235">
        <f t="shared" si="11"/>
        <v>70.964333333333343</v>
      </c>
      <c r="F61" s="236">
        <f t="shared" si="0"/>
        <v>195.15191666666669</v>
      </c>
      <c r="G61" s="238"/>
      <c r="H61" s="514"/>
      <c r="I61" s="234" t="s">
        <v>228</v>
      </c>
      <c r="J61" s="235">
        <f t="shared" si="12"/>
        <v>601.02437499999917</v>
      </c>
      <c r="K61" s="235">
        <f t="shared" si="8"/>
        <v>10.017072916666654</v>
      </c>
      <c r="L61" s="235">
        <f t="shared" si="9"/>
        <v>5.7240416666666665</v>
      </c>
      <c r="M61" s="236">
        <f t="shared" si="1"/>
        <v>15.741114583333321</v>
      </c>
      <c r="N61" s="236"/>
      <c r="O61" s="512"/>
      <c r="P61" s="234" t="s">
        <v>228</v>
      </c>
      <c r="Q61" s="235">
        <f t="shared" si="15"/>
        <v>1614.1436999999999</v>
      </c>
      <c r="R61" s="235">
        <f t="shared" si="13"/>
        <v>26.902394999999999</v>
      </c>
      <c r="S61" s="235">
        <f t="shared" si="14"/>
        <v>13.796099999999999</v>
      </c>
      <c r="T61" s="236">
        <f t="shared" si="4"/>
        <v>40.698494999999994</v>
      </c>
      <c r="U61" s="236"/>
      <c r="V61" s="512"/>
      <c r="W61" s="234" t="s">
        <v>228</v>
      </c>
      <c r="X61" s="235"/>
      <c r="Y61" s="235">
        <f t="shared" si="2"/>
        <v>0</v>
      </c>
      <c r="Z61" s="235"/>
      <c r="AA61" s="236">
        <f t="shared" si="5"/>
        <v>0</v>
      </c>
      <c r="AB61" s="236"/>
      <c r="AC61" s="512"/>
      <c r="AD61" s="234" t="s">
        <v>228</v>
      </c>
      <c r="AE61" s="235"/>
      <c r="AF61" s="235">
        <f t="shared" si="3"/>
        <v>0</v>
      </c>
      <c r="AG61" s="235"/>
      <c r="AH61" s="236">
        <f t="shared" si="6"/>
        <v>0</v>
      </c>
      <c r="AI61" s="236"/>
      <c r="AK61" s="240"/>
    </row>
    <row r="62" spans="1:37" x14ac:dyDescent="0.2">
      <c r="A62" s="512"/>
      <c r="B62" s="234" t="s">
        <v>229</v>
      </c>
      <c r="C62" s="235">
        <f t="shared" si="10"/>
        <v>7380.2906666666677</v>
      </c>
      <c r="D62" s="235">
        <f t="shared" si="7"/>
        <v>123.00484444444447</v>
      </c>
      <c r="E62" s="235">
        <f t="shared" si="11"/>
        <v>70.964333333333343</v>
      </c>
      <c r="F62" s="236">
        <f t="shared" si="0"/>
        <v>193.96917777777782</v>
      </c>
      <c r="G62" s="238"/>
      <c r="H62" s="514"/>
      <c r="I62" s="234" t="s">
        <v>229</v>
      </c>
      <c r="J62" s="235">
        <f t="shared" si="12"/>
        <v>595.30033333333245</v>
      </c>
      <c r="K62" s="235">
        <f t="shared" si="8"/>
        <v>9.9216722222222078</v>
      </c>
      <c r="L62" s="235">
        <f t="shared" si="9"/>
        <v>5.7240416666666665</v>
      </c>
      <c r="M62" s="236">
        <f t="shared" si="1"/>
        <v>15.645713888888874</v>
      </c>
      <c r="N62" s="236"/>
      <c r="O62" s="512"/>
      <c r="P62" s="234" t="s">
        <v>229</v>
      </c>
      <c r="Q62" s="235">
        <f t="shared" si="15"/>
        <v>1600.3475999999998</v>
      </c>
      <c r="R62" s="235">
        <f t="shared" si="13"/>
        <v>26.672460000000001</v>
      </c>
      <c r="S62" s="235">
        <f t="shared" si="14"/>
        <v>13.796099999999999</v>
      </c>
      <c r="T62" s="236">
        <f t="shared" si="4"/>
        <v>40.468559999999997</v>
      </c>
      <c r="U62" s="236"/>
      <c r="V62" s="512"/>
      <c r="W62" s="234" t="s">
        <v>229</v>
      </c>
      <c r="X62" s="235"/>
      <c r="Y62" s="235">
        <f t="shared" si="2"/>
        <v>0</v>
      </c>
      <c r="Z62" s="235"/>
      <c r="AA62" s="236">
        <f t="shared" si="5"/>
        <v>0</v>
      </c>
      <c r="AB62" s="236"/>
      <c r="AC62" s="512"/>
      <c r="AD62" s="234" t="s">
        <v>229</v>
      </c>
      <c r="AE62" s="235"/>
      <c r="AF62" s="235">
        <f t="shared" si="3"/>
        <v>0</v>
      </c>
      <c r="AG62" s="235"/>
      <c r="AH62" s="236">
        <f t="shared" si="6"/>
        <v>0</v>
      </c>
      <c r="AI62" s="236"/>
      <c r="AK62" s="240"/>
    </row>
    <row r="63" spans="1:37" x14ac:dyDescent="0.2">
      <c r="A63" s="512"/>
      <c r="B63" s="234" t="s">
        <v>230</v>
      </c>
      <c r="C63" s="235">
        <f t="shared" si="10"/>
        <v>7309.3263333333343</v>
      </c>
      <c r="D63" s="235">
        <f t="shared" si="7"/>
        <v>121.82210555555558</v>
      </c>
      <c r="E63" s="235">
        <f t="shared" si="11"/>
        <v>70.964333333333343</v>
      </c>
      <c r="F63" s="236">
        <f t="shared" si="0"/>
        <v>192.78643888888894</v>
      </c>
      <c r="G63" s="238"/>
      <c r="H63" s="514"/>
      <c r="I63" s="234" t="s">
        <v>230</v>
      </c>
      <c r="J63" s="235">
        <f t="shared" si="12"/>
        <v>589.57629166666572</v>
      </c>
      <c r="K63" s="235">
        <f t="shared" si="8"/>
        <v>9.826271527777763</v>
      </c>
      <c r="L63" s="235">
        <f t="shared" si="9"/>
        <v>5.7240416666666665</v>
      </c>
      <c r="M63" s="236">
        <f t="shared" si="1"/>
        <v>15.550313194444429</v>
      </c>
      <c r="N63" s="236"/>
      <c r="O63" s="512"/>
      <c r="P63" s="234" t="s">
        <v>230</v>
      </c>
      <c r="Q63" s="235">
        <f t="shared" si="15"/>
        <v>1586.5514999999998</v>
      </c>
      <c r="R63" s="235">
        <f t="shared" si="13"/>
        <v>26.442525</v>
      </c>
      <c r="S63" s="235">
        <f t="shared" si="14"/>
        <v>13.796099999999999</v>
      </c>
      <c r="T63" s="236">
        <f t="shared" si="4"/>
        <v>40.238624999999999</v>
      </c>
      <c r="U63" s="236"/>
      <c r="V63" s="512"/>
      <c r="W63" s="234" t="s">
        <v>230</v>
      </c>
      <c r="X63" s="235"/>
      <c r="Y63" s="235">
        <f t="shared" si="2"/>
        <v>0</v>
      </c>
      <c r="Z63" s="235"/>
      <c r="AA63" s="236">
        <f t="shared" si="5"/>
        <v>0</v>
      </c>
      <c r="AB63" s="236"/>
      <c r="AC63" s="512"/>
      <c r="AD63" s="234" t="s">
        <v>230</v>
      </c>
      <c r="AE63" s="235"/>
      <c r="AF63" s="235">
        <f t="shared" si="3"/>
        <v>0</v>
      </c>
      <c r="AG63" s="235"/>
      <c r="AH63" s="236">
        <f t="shared" si="6"/>
        <v>0</v>
      </c>
      <c r="AI63" s="236"/>
      <c r="AK63" s="240"/>
    </row>
    <row r="64" spans="1:37" x14ac:dyDescent="0.2">
      <c r="A64" s="512"/>
      <c r="B64" s="234" t="s">
        <v>231</v>
      </c>
      <c r="C64" s="235">
        <f t="shared" si="10"/>
        <v>7238.362000000001</v>
      </c>
      <c r="D64" s="235">
        <f t="shared" si="7"/>
        <v>120.6393666666667</v>
      </c>
      <c r="E64" s="235">
        <f t="shared" si="11"/>
        <v>70.964333333333343</v>
      </c>
      <c r="F64" s="236">
        <f t="shared" si="0"/>
        <v>191.60370000000006</v>
      </c>
      <c r="G64" s="238"/>
      <c r="H64" s="514"/>
      <c r="I64" s="234" t="s">
        <v>231</v>
      </c>
      <c r="J64" s="235">
        <f t="shared" si="12"/>
        <v>583.852249999999</v>
      </c>
      <c r="K64" s="235">
        <f t="shared" si="8"/>
        <v>9.7308708333333183</v>
      </c>
      <c r="L64" s="235">
        <f t="shared" si="9"/>
        <v>5.7240416666666665</v>
      </c>
      <c r="M64" s="236">
        <f t="shared" si="1"/>
        <v>15.454912499999985</v>
      </c>
      <c r="N64" s="236"/>
      <c r="O64" s="512"/>
      <c r="P64" s="234" t="s">
        <v>231</v>
      </c>
      <c r="Q64" s="235">
        <f t="shared" si="15"/>
        <v>1572.7553999999998</v>
      </c>
      <c r="R64" s="235">
        <f t="shared" si="13"/>
        <v>26.212589999999995</v>
      </c>
      <c r="S64" s="235">
        <f t="shared" si="14"/>
        <v>13.796099999999999</v>
      </c>
      <c r="T64" s="236">
        <f t="shared" si="4"/>
        <v>40.008689999999994</v>
      </c>
      <c r="U64" s="236"/>
      <c r="V64" s="512"/>
      <c r="W64" s="234" t="s">
        <v>231</v>
      </c>
      <c r="X64" s="235"/>
      <c r="Y64" s="235">
        <f t="shared" si="2"/>
        <v>0</v>
      </c>
      <c r="Z64" s="235"/>
      <c r="AA64" s="236">
        <f t="shared" si="5"/>
        <v>0</v>
      </c>
      <c r="AB64" s="236"/>
      <c r="AC64" s="512"/>
      <c r="AD64" s="234" t="s">
        <v>231</v>
      </c>
      <c r="AE64" s="235"/>
      <c r="AF64" s="235">
        <f t="shared" si="3"/>
        <v>0</v>
      </c>
      <c r="AG64" s="235"/>
      <c r="AH64" s="236">
        <f t="shared" si="6"/>
        <v>0</v>
      </c>
      <c r="AI64" s="236"/>
      <c r="AK64" s="240"/>
    </row>
    <row r="65" spans="1:37" x14ac:dyDescent="0.2">
      <c r="A65" s="512"/>
      <c r="B65" s="234" t="s">
        <v>232</v>
      </c>
      <c r="C65" s="235">
        <f t="shared" si="10"/>
        <v>7167.3976666666676</v>
      </c>
      <c r="D65" s="235">
        <f t="shared" si="7"/>
        <v>119.4566277777778</v>
      </c>
      <c r="E65" s="235">
        <f t="shared" si="11"/>
        <v>70.964333333333343</v>
      </c>
      <c r="F65" s="236">
        <f t="shared" si="0"/>
        <v>190.42096111111113</v>
      </c>
      <c r="G65" s="238"/>
      <c r="H65" s="514"/>
      <c r="I65" s="234" t="s">
        <v>232</v>
      </c>
      <c r="J65" s="235">
        <f t="shared" si="12"/>
        <v>578.12820833333228</v>
      </c>
      <c r="K65" s="235">
        <f t="shared" si="8"/>
        <v>9.6354701388888717</v>
      </c>
      <c r="L65" s="235">
        <f t="shared" si="9"/>
        <v>5.7240416666666665</v>
      </c>
      <c r="M65" s="236">
        <f t="shared" si="1"/>
        <v>15.359511805555538</v>
      </c>
      <c r="N65" s="236"/>
      <c r="O65" s="512"/>
      <c r="P65" s="234" t="s">
        <v>232</v>
      </c>
      <c r="Q65" s="235">
        <f t="shared" si="15"/>
        <v>1558.9592999999998</v>
      </c>
      <c r="R65" s="235">
        <f t="shared" si="13"/>
        <v>25.982654999999998</v>
      </c>
      <c r="S65" s="235">
        <f t="shared" si="14"/>
        <v>13.796099999999999</v>
      </c>
      <c r="T65" s="236">
        <f t="shared" si="4"/>
        <v>39.778754999999997</v>
      </c>
      <c r="U65" s="236"/>
      <c r="V65" s="512"/>
      <c r="W65" s="234" t="s">
        <v>232</v>
      </c>
      <c r="X65" s="235"/>
      <c r="Y65" s="235">
        <f t="shared" si="2"/>
        <v>0</v>
      </c>
      <c r="Z65" s="235"/>
      <c r="AA65" s="236">
        <f t="shared" si="5"/>
        <v>0</v>
      </c>
      <c r="AB65" s="236"/>
      <c r="AC65" s="512"/>
      <c r="AD65" s="234" t="s">
        <v>232</v>
      </c>
      <c r="AE65" s="235"/>
      <c r="AF65" s="235">
        <f t="shared" si="3"/>
        <v>0</v>
      </c>
      <c r="AG65" s="235"/>
      <c r="AH65" s="236">
        <f t="shared" si="6"/>
        <v>0</v>
      </c>
      <c r="AI65" s="236"/>
      <c r="AK65" s="240"/>
    </row>
    <row r="66" spans="1:37" x14ac:dyDescent="0.2">
      <c r="A66" s="512"/>
      <c r="B66" s="234" t="s">
        <v>233</v>
      </c>
      <c r="C66" s="235">
        <f t="shared" si="10"/>
        <v>7096.4333333333343</v>
      </c>
      <c r="D66" s="235">
        <f t="shared" si="7"/>
        <v>118.27388888888891</v>
      </c>
      <c r="E66" s="235">
        <f t="shared" si="11"/>
        <v>70.964333333333343</v>
      </c>
      <c r="F66" s="236">
        <f t="shared" si="0"/>
        <v>189.23822222222225</v>
      </c>
      <c r="G66" s="238"/>
      <c r="H66" s="514"/>
      <c r="I66" s="234" t="s">
        <v>233</v>
      </c>
      <c r="J66" s="235">
        <f t="shared" si="12"/>
        <v>572.40416666666556</v>
      </c>
      <c r="K66" s="235">
        <f t="shared" si="8"/>
        <v>9.5400694444444269</v>
      </c>
      <c r="L66" s="235">
        <f t="shared" si="9"/>
        <v>5.7240416666666665</v>
      </c>
      <c r="M66" s="236">
        <f t="shared" si="1"/>
        <v>15.264111111111093</v>
      </c>
      <c r="N66" s="236"/>
      <c r="O66" s="512"/>
      <c r="P66" s="234" t="s">
        <v>233</v>
      </c>
      <c r="Q66" s="235">
        <f t="shared" si="15"/>
        <v>1545.1631999999997</v>
      </c>
      <c r="R66" s="235">
        <f t="shared" si="13"/>
        <v>25.752719999999997</v>
      </c>
      <c r="S66" s="235">
        <f t="shared" si="14"/>
        <v>13.796099999999999</v>
      </c>
      <c r="T66" s="236">
        <f t="shared" si="4"/>
        <v>39.548819999999992</v>
      </c>
      <c r="U66" s="236"/>
      <c r="V66" s="512"/>
      <c r="W66" s="234" t="s">
        <v>233</v>
      </c>
      <c r="X66" s="235"/>
      <c r="Y66" s="235">
        <f t="shared" si="2"/>
        <v>0</v>
      </c>
      <c r="Z66" s="235"/>
      <c r="AA66" s="236">
        <f t="shared" si="5"/>
        <v>0</v>
      </c>
      <c r="AB66" s="236"/>
      <c r="AC66" s="512"/>
      <c r="AD66" s="234" t="s">
        <v>233</v>
      </c>
      <c r="AE66" s="235"/>
      <c r="AF66" s="235">
        <f t="shared" si="3"/>
        <v>0</v>
      </c>
      <c r="AG66" s="235"/>
      <c r="AH66" s="236">
        <f t="shared" si="6"/>
        <v>0</v>
      </c>
      <c r="AI66" s="236"/>
      <c r="AK66" s="240"/>
    </row>
    <row r="67" spans="1:37" x14ac:dyDescent="0.2">
      <c r="A67" s="512"/>
      <c r="B67" s="234" t="s">
        <v>234</v>
      </c>
      <c r="C67" s="235">
        <f t="shared" si="10"/>
        <v>7025.469000000001</v>
      </c>
      <c r="D67" s="235">
        <f t="shared" si="7"/>
        <v>117.09115000000003</v>
      </c>
      <c r="E67" s="235">
        <f t="shared" si="11"/>
        <v>70.964333333333343</v>
      </c>
      <c r="F67" s="236">
        <f t="shared" si="0"/>
        <v>188.05548333333337</v>
      </c>
      <c r="G67" s="238"/>
      <c r="H67" s="514"/>
      <c r="I67" s="234" t="s">
        <v>234</v>
      </c>
      <c r="J67" s="235">
        <f t="shared" si="12"/>
        <v>566.68012499999884</v>
      </c>
      <c r="K67" s="235">
        <f t="shared" si="8"/>
        <v>9.4446687499999822</v>
      </c>
      <c r="L67" s="235">
        <f t="shared" si="9"/>
        <v>5.7240416666666665</v>
      </c>
      <c r="M67" s="236">
        <f t="shared" si="1"/>
        <v>15.168710416666649</v>
      </c>
      <c r="N67" s="236"/>
      <c r="O67" s="512"/>
      <c r="P67" s="234" t="s">
        <v>234</v>
      </c>
      <c r="Q67" s="235">
        <f t="shared" si="15"/>
        <v>1531.3670999999997</v>
      </c>
      <c r="R67" s="235">
        <f t="shared" si="13"/>
        <v>25.522784999999995</v>
      </c>
      <c r="S67" s="235">
        <f t="shared" si="14"/>
        <v>13.796099999999999</v>
      </c>
      <c r="T67" s="236">
        <f t="shared" si="4"/>
        <v>39.318884999999995</v>
      </c>
      <c r="U67" s="236"/>
      <c r="V67" s="512"/>
      <c r="W67" s="234" t="s">
        <v>234</v>
      </c>
      <c r="X67" s="235"/>
      <c r="Y67" s="235">
        <f t="shared" si="2"/>
        <v>0</v>
      </c>
      <c r="Z67" s="235"/>
      <c r="AA67" s="236">
        <f t="shared" si="5"/>
        <v>0</v>
      </c>
      <c r="AB67" s="236"/>
      <c r="AC67" s="512"/>
      <c r="AD67" s="234" t="s">
        <v>234</v>
      </c>
      <c r="AE67" s="235"/>
      <c r="AF67" s="235">
        <f t="shared" si="3"/>
        <v>0</v>
      </c>
      <c r="AG67" s="235"/>
      <c r="AH67" s="236">
        <f t="shared" si="6"/>
        <v>0</v>
      </c>
      <c r="AI67" s="236"/>
      <c r="AK67" s="240"/>
    </row>
    <row r="68" spans="1:37" x14ac:dyDescent="0.2">
      <c r="A68" s="512"/>
      <c r="B68" s="244" t="s">
        <v>235</v>
      </c>
      <c r="C68" s="245">
        <f>C67-E67-C8</f>
        <v>82.648000000001048</v>
      </c>
      <c r="D68" s="245">
        <f>C68*$D$7/12</f>
        <v>1.3774666666666844</v>
      </c>
      <c r="E68" s="245">
        <f>$C$68/($D$8-23)</f>
        <v>0.85204123711341284</v>
      </c>
      <c r="F68" s="236">
        <f t="shared" si="0"/>
        <v>2.2295079037800973</v>
      </c>
      <c r="G68" s="238"/>
      <c r="H68" s="514"/>
      <c r="I68" s="234" t="s">
        <v>235</v>
      </c>
      <c r="J68" s="235">
        <f t="shared" si="12"/>
        <v>560.95608333333212</v>
      </c>
      <c r="K68" s="235">
        <f t="shared" si="8"/>
        <v>9.3492680555555356</v>
      </c>
      <c r="L68" s="235">
        <f t="shared" si="9"/>
        <v>5.7240416666666665</v>
      </c>
      <c r="M68" s="236">
        <f t="shared" si="1"/>
        <v>15.073309722222202</v>
      </c>
      <c r="N68" s="236"/>
      <c r="O68" s="512"/>
      <c r="P68" s="234" t="s">
        <v>235</v>
      </c>
      <c r="Q68" s="235">
        <f t="shared" si="15"/>
        <v>1517.5709999999997</v>
      </c>
      <c r="R68" s="235">
        <f t="shared" si="13"/>
        <v>25.292849999999998</v>
      </c>
      <c r="S68" s="235">
        <f t="shared" si="14"/>
        <v>13.796099999999999</v>
      </c>
      <c r="T68" s="236">
        <f t="shared" si="4"/>
        <v>39.088949999999997</v>
      </c>
      <c r="U68" s="236"/>
      <c r="V68" s="512"/>
      <c r="W68" s="234" t="s">
        <v>235</v>
      </c>
      <c r="X68" s="235"/>
      <c r="Y68" s="235">
        <f t="shared" si="2"/>
        <v>0</v>
      </c>
      <c r="Z68" s="235"/>
      <c r="AA68" s="236">
        <f t="shared" si="5"/>
        <v>0</v>
      </c>
      <c r="AB68" s="236"/>
      <c r="AC68" s="512"/>
      <c r="AD68" s="234" t="s">
        <v>235</v>
      </c>
      <c r="AE68" s="235"/>
      <c r="AF68" s="235">
        <f t="shared" si="3"/>
        <v>0</v>
      </c>
      <c r="AG68" s="235"/>
      <c r="AH68" s="236">
        <f t="shared" si="6"/>
        <v>0</v>
      </c>
      <c r="AI68" s="236"/>
      <c r="AK68" s="240"/>
    </row>
    <row r="69" spans="1:37" x14ac:dyDescent="0.2">
      <c r="A69" s="512"/>
      <c r="B69" s="234" t="s">
        <v>236</v>
      </c>
      <c r="C69" s="235">
        <f>C68-E68</f>
        <v>81.795958762887636</v>
      </c>
      <c r="D69" s="235">
        <f t="shared" si="7"/>
        <v>1.3632659793814605</v>
      </c>
      <c r="E69" s="245">
        <f t="shared" ref="E69:E132" si="16">$C$68/($D$8-23)</f>
        <v>0.85204123711341284</v>
      </c>
      <c r="F69" s="236">
        <f t="shared" si="0"/>
        <v>2.2153072164948733</v>
      </c>
      <c r="G69" s="239">
        <f>SUM(D58:D69)</f>
        <v>1226.8754826460481</v>
      </c>
      <c r="H69" s="515"/>
      <c r="I69" s="234" t="s">
        <v>236</v>
      </c>
      <c r="J69" s="235">
        <f t="shared" si="12"/>
        <v>555.2320416666654</v>
      </c>
      <c r="K69" s="235">
        <f t="shared" si="8"/>
        <v>9.2538673611110909</v>
      </c>
      <c r="L69" s="235">
        <f t="shared" si="9"/>
        <v>5.7240416666666665</v>
      </c>
      <c r="M69" s="236">
        <f t="shared" si="1"/>
        <v>14.977909027777757</v>
      </c>
      <c r="N69" s="239">
        <f>SUM(K58:K69)</f>
        <v>117.34285416666648</v>
      </c>
      <c r="O69" s="512"/>
      <c r="P69" s="234" t="s">
        <v>236</v>
      </c>
      <c r="Q69" s="235">
        <f t="shared" si="15"/>
        <v>1503.7748999999997</v>
      </c>
      <c r="R69" s="235">
        <f t="shared" si="13"/>
        <v>25.062914999999993</v>
      </c>
      <c r="S69" s="235">
        <f t="shared" si="14"/>
        <v>13.796099999999999</v>
      </c>
      <c r="T69" s="236">
        <f t="shared" si="4"/>
        <v>38.859014999999992</v>
      </c>
      <c r="U69" s="239">
        <f>SUM(R58:R69)</f>
        <v>315.93068999999997</v>
      </c>
      <c r="V69" s="512"/>
      <c r="W69" s="234" t="s">
        <v>236</v>
      </c>
      <c r="X69" s="235"/>
      <c r="Y69" s="235">
        <f t="shared" si="2"/>
        <v>0</v>
      </c>
      <c r="Z69" s="235"/>
      <c r="AA69" s="236">
        <f t="shared" si="5"/>
        <v>0</v>
      </c>
      <c r="AB69" s="239">
        <f>SUM(Y58:Y69)</f>
        <v>0</v>
      </c>
      <c r="AC69" s="512"/>
      <c r="AD69" s="234" t="s">
        <v>236</v>
      </c>
      <c r="AE69" s="235"/>
      <c r="AF69" s="235">
        <f t="shared" si="3"/>
        <v>0</v>
      </c>
      <c r="AG69" s="235"/>
      <c r="AH69" s="236">
        <f t="shared" si="6"/>
        <v>0</v>
      </c>
      <c r="AI69" s="239">
        <f>SUM(AF58:AF69)</f>
        <v>0</v>
      </c>
      <c r="AJ69" s="208">
        <f>AJ57+1</f>
        <v>2026</v>
      </c>
      <c r="AK69" s="240">
        <f>G69+N69+U69+AB69+AI69</f>
        <v>1660.1490268127145</v>
      </c>
    </row>
    <row r="70" spans="1:37" x14ac:dyDescent="0.2">
      <c r="A70" s="512">
        <f>A58+1</f>
        <v>2027</v>
      </c>
      <c r="B70" s="234" t="s">
        <v>225</v>
      </c>
      <c r="C70" s="235">
        <f t="shared" si="10"/>
        <v>80.943917525774225</v>
      </c>
      <c r="D70" s="235">
        <f t="shared" si="7"/>
        <v>1.3490652920962372</v>
      </c>
      <c r="E70" s="245">
        <f t="shared" si="16"/>
        <v>0.85204123711341284</v>
      </c>
      <c r="F70" s="236">
        <f t="shared" si="0"/>
        <v>2.2011065292096501</v>
      </c>
      <c r="G70" s="237"/>
      <c r="H70" s="513">
        <f>H58+1</f>
        <v>2027</v>
      </c>
      <c r="I70" s="234" t="s">
        <v>225</v>
      </c>
      <c r="J70" s="235">
        <f t="shared" si="12"/>
        <v>549.50799999999867</v>
      </c>
      <c r="K70" s="235">
        <f t="shared" si="8"/>
        <v>9.1584666666666461</v>
      </c>
      <c r="L70" s="235">
        <f t="shared" si="9"/>
        <v>5.7240416666666665</v>
      </c>
      <c r="M70" s="236">
        <f t="shared" si="1"/>
        <v>14.882508333333313</v>
      </c>
      <c r="N70" s="236"/>
      <c r="O70" s="512">
        <f>O58+1</f>
        <v>2027</v>
      </c>
      <c r="P70" s="234" t="s">
        <v>225</v>
      </c>
      <c r="Q70" s="235">
        <f t="shared" si="15"/>
        <v>1489.9787999999996</v>
      </c>
      <c r="R70" s="235">
        <f t="shared" si="13"/>
        <v>24.832979999999996</v>
      </c>
      <c r="S70" s="235">
        <f t="shared" si="14"/>
        <v>13.796099999999999</v>
      </c>
      <c r="T70" s="236">
        <f t="shared" si="4"/>
        <v>38.629079999999995</v>
      </c>
      <c r="U70" s="236"/>
      <c r="V70" s="512">
        <f>V58+1</f>
        <v>2026</v>
      </c>
      <c r="W70" s="234" t="s">
        <v>225</v>
      </c>
      <c r="X70" s="235"/>
      <c r="Y70" s="235"/>
      <c r="Z70" s="235"/>
      <c r="AA70" s="236">
        <f t="shared" si="5"/>
        <v>0</v>
      </c>
      <c r="AB70" s="236"/>
      <c r="AC70" s="512">
        <f>AC58+1</f>
        <v>2026</v>
      </c>
      <c r="AD70" s="234" t="s">
        <v>225</v>
      </c>
      <c r="AE70" s="235"/>
      <c r="AF70" s="235"/>
      <c r="AG70" s="235"/>
      <c r="AH70" s="236">
        <f t="shared" si="6"/>
        <v>0</v>
      </c>
      <c r="AI70" s="236"/>
      <c r="AK70" s="240"/>
    </row>
    <row r="71" spans="1:37" x14ac:dyDescent="0.2">
      <c r="A71" s="512"/>
      <c r="B71" s="234" t="s">
        <v>226</v>
      </c>
      <c r="C71" s="235">
        <f t="shared" si="10"/>
        <v>80.091876288660814</v>
      </c>
      <c r="D71" s="235">
        <f t="shared" si="7"/>
        <v>1.3348646048110135</v>
      </c>
      <c r="E71" s="245">
        <f t="shared" si="16"/>
        <v>0.85204123711341284</v>
      </c>
      <c r="F71" s="236">
        <f t="shared" si="0"/>
        <v>2.1869058419244265</v>
      </c>
      <c r="G71" s="238"/>
      <c r="H71" s="514"/>
      <c r="I71" s="234" t="s">
        <v>226</v>
      </c>
      <c r="J71" s="235">
        <f t="shared" si="12"/>
        <v>543.78395833333195</v>
      </c>
      <c r="K71" s="235">
        <f t="shared" si="8"/>
        <v>9.0630659722221996</v>
      </c>
      <c r="L71" s="235">
        <f t="shared" si="9"/>
        <v>5.7240416666666665</v>
      </c>
      <c r="M71" s="236">
        <f t="shared" si="1"/>
        <v>14.787107638888866</v>
      </c>
      <c r="N71" s="236"/>
      <c r="O71" s="512"/>
      <c r="P71" s="234" t="s">
        <v>226</v>
      </c>
      <c r="Q71" s="235">
        <f t="shared" si="15"/>
        <v>1476.1826999999996</v>
      </c>
      <c r="R71" s="235">
        <f t="shared" si="13"/>
        <v>24.603044999999995</v>
      </c>
      <c r="S71" s="235">
        <f t="shared" si="14"/>
        <v>13.796099999999999</v>
      </c>
      <c r="T71" s="236">
        <f t="shared" si="4"/>
        <v>38.39914499999999</v>
      </c>
      <c r="U71" s="236"/>
      <c r="V71" s="512"/>
      <c r="W71" s="234" t="s">
        <v>226</v>
      </c>
      <c r="X71" s="235"/>
      <c r="Y71" s="235"/>
      <c r="Z71" s="235"/>
      <c r="AA71" s="236">
        <f t="shared" si="5"/>
        <v>0</v>
      </c>
      <c r="AB71" s="236"/>
      <c r="AC71" s="512"/>
      <c r="AD71" s="234" t="s">
        <v>226</v>
      </c>
      <c r="AE71" s="235"/>
      <c r="AF71" s="235"/>
      <c r="AG71" s="235"/>
      <c r="AH71" s="236">
        <f t="shared" si="6"/>
        <v>0</v>
      </c>
      <c r="AI71" s="236"/>
      <c r="AK71" s="240"/>
    </row>
    <row r="72" spans="1:37" x14ac:dyDescent="0.2">
      <c r="A72" s="512"/>
      <c r="B72" s="234" t="s">
        <v>227</v>
      </c>
      <c r="C72" s="235">
        <f t="shared" si="10"/>
        <v>79.239835051547402</v>
      </c>
      <c r="D72" s="235">
        <f t="shared" si="7"/>
        <v>1.3206639175257902</v>
      </c>
      <c r="E72" s="245">
        <f t="shared" si="16"/>
        <v>0.85204123711341284</v>
      </c>
      <c r="F72" s="236">
        <f t="shared" si="0"/>
        <v>2.1727051546392029</v>
      </c>
      <c r="G72" s="238"/>
      <c r="H72" s="514"/>
      <c r="I72" s="234" t="s">
        <v>227</v>
      </c>
      <c r="J72" s="235">
        <f t="shared" si="12"/>
        <v>538.05991666666523</v>
      </c>
      <c r="K72" s="235">
        <f t="shared" si="8"/>
        <v>8.9676652777777548</v>
      </c>
      <c r="L72" s="235">
        <f t="shared" si="9"/>
        <v>5.7240416666666665</v>
      </c>
      <c r="M72" s="236">
        <f t="shared" si="1"/>
        <v>14.691706944444421</v>
      </c>
      <c r="N72" s="236"/>
      <c r="O72" s="512"/>
      <c r="P72" s="234" t="s">
        <v>227</v>
      </c>
      <c r="Q72" s="235">
        <f t="shared" si="15"/>
        <v>1462.3865999999996</v>
      </c>
      <c r="R72" s="235">
        <f t="shared" si="13"/>
        <v>24.373109999999993</v>
      </c>
      <c r="S72" s="235">
        <f t="shared" si="14"/>
        <v>13.796099999999999</v>
      </c>
      <c r="T72" s="236">
        <f t="shared" si="4"/>
        <v>38.169209999999993</v>
      </c>
      <c r="U72" s="236"/>
      <c r="V72" s="512"/>
      <c r="W72" s="234" t="s">
        <v>227</v>
      </c>
      <c r="X72" s="235"/>
      <c r="Y72" s="235"/>
      <c r="Z72" s="235"/>
      <c r="AA72" s="236">
        <f t="shared" si="5"/>
        <v>0</v>
      </c>
      <c r="AB72" s="236"/>
      <c r="AC72" s="512"/>
      <c r="AD72" s="234" t="s">
        <v>227</v>
      </c>
      <c r="AE72" s="235"/>
      <c r="AF72" s="235"/>
      <c r="AG72" s="235"/>
      <c r="AH72" s="236">
        <f t="shared" si="6"/>
        <v>0</v>
      </c>
      <c r="AI72" s="236"/>
      <c r="AK72" s="240"/>
    </row>
    <row r="73" spans="1:37" x14ac:dyDescent="0.2">
      <c r="A73" s="512"/>
      <c r="B73" s="234" t="s">
        <v>228</v>
      </c>
      <c r="C73" s="235">
        <f t="shared" si="10"/>
        <v>78.387793814433991</v>
      </c>
      <c r="D73" s="235">
        <f t="shared" si="7"/>
        <v>1.3064632302405665</v>
      </c>
      <c r="E73" s="245">
        <f t="shared" si="16"/>
        <v>0.85204123711341284</v>
      </c>
      <c r="F73" s="236">
        <f t="shared" si="0"/>
        <v>2.1585044673539793</v>
      </c>
      <c r="G73" s="238"/>
      <c r="H73" s="514"/>
      <c r="I73" s="234" t="s">
        <v>228</v>
      </c>
      <c r="J73" s="235">
        <f t="shared" si="12"/>
        <v>532.33587499999851</v>
      </c>
      <c r="K73" s="235">
        <f t="shared" si="8"/>
        <v>8.87226458333331</v>
      </c>
      <c r="L73" s="235">
        <f t="shared" si="9"/>
        <v>5.7240416666666665</v>
      </c>
      <c r="M73" s="236">
        <f t="shared" si="1"/>
        <v>14.596306249999977</v>
      </c>
      <c r="N73" s="236"/>
      <c r="O73" s="512"/>
      <c r="P73" s="234" t="s">
        <v>228</v>
      </c>
      <c r="Q73" s="235">
        <f t="shared" si="15"/>
        <v>1448.5904999999996</v>
      </c>
      <c r="R73" s="235">
        <f t="shared" si="13"/>
        <v>24.143174999999996</v>
      </c>
      <c r="S73" s="235">
        <f t="shared" si="14"/>
        <v>13.796099999999999</v>
      </c>
      <c r="T73" s="236">
        <f t="shared" si="4"/>
        <v>37.939274999999995</v>
      </c>
      <c r="U73" s="236"/>
      <c r="V73" s="512"/>
      <c r="W73" s="234" t="s">
        <v>228</v>
      </c>
      <c r="X73" s="235"/>
      <c r="Y73" s="235"/>
      <c r="Z73" s="235"/>
      <c r="AA73" s="236">
        <f t="shared" si="5"/>
        <v>0</v>
      </c>
      <c r="AB73" s="236"/>
      <c r="AC73" s="512"/>
      <c r="AD73" s="234" t="s">
        <v>228</v>
      </c>
      <c r="AE73" s="235"/>
      <c r="AF73" s="235"/>
      <c r="AG73" s="235"/>
      <c r="AH73" s="236">
        <f t="shared" si="6"/>
        <v>0</v>
      </c>
      <c r="AI73" s="236"/>
      <c r="AK73" s="240"/>
    </row>
    <row r="74" spans="1:37" x14ac:dyDescent="0.2">
      <c r="A74" s="512"/>
      <c r="B74" s="234" t="s">
        <v>229</v>
      </c>
      <c r="C74" s="235">
        <f t="shared" si="10"/>
        <v>77.535752577320579</v>
      </c>
      <c r="D74" s="235">
        <f t="shared" si="7"/>
        <v>1.2922625429553432</v>
      </c>
      <c r="E74" s="245">
        <f t="shared" si="16"/>
        <v>0.85204123711341284</v>
      </c>
      <c r="F74" s="236">
        <f t="shared" si="0"/>
        <v>2.1443037800687561</v>
      </c>
      <c r="G74" s="238"/>
      <c r="H74" s="514"/>
      <c r="I74" s="234" t="s">
        <v>229</v>
      </c>
      <c r="J74" s="235">
        <f t="shared" si="12"/>
        <v>526.61183333333179</v>
      </c>
      <c r="K74" s="235">
        <f t="shared" si="8"/>
        <v>8.7768638888888635</v>
      </c>
      <c r="L74" s="235">
        <f t="shared" si="9"/>
        <v>5.7240416666666665</v>
      </c>
      <c r="M74" s="236">
        <f t="shared" si="1"/>
        <v>14.50090555555553</v>
      </c>
      <c r="N74" s="236"/>
      <c r="O74" s="512"/>
      <c r="P74" s="234" t="s">
        <v>229</v>
      </c>
      <c r="Q74" s="235">
        <f t="shared" si="15"/>
        <v>1434.7943999999995</v>
      </c>
      <c r="R74" s="235">
        <f t="shared" si="13"/>
        <v>23.913239999999991</v>
      </c>
      <c r="S74" s="235">
        <f t="shared" si="14"/>
        <v>13.796099999999999</v>
      </c>
      <c r="T74" s="236">
        <f t="shared" si="4"/>
        <v>37.70933999999999</v>
      </c>
      <c r="U74" s="236"/>
      <c r="V74" s="512"/>
      <c r="W74" s="234" t="s">
        <v>229</v>
      </c>
      <c r="X74" s="235"/>
      <c r="Y74" s="235"/>
      <c r="Z74" s="235"/>
      <c r="AA74" s="236">
        <f t="shared" si="5"/>
        <v>0</v>
      </c>
      <c r="AB74" s="236"/>
      <c r="AC74" s="512"/>
      <c r="AD74" s="234" t="s">
        <v>229</v>
      </c>
      <c r="AE74" s="235"/>
      <c r="AF74" s="235"/>
      <c r="AG74" s="235"/>
      <c r="AH74" s="236">
        <f t="shared" si="6"/>
        <v>0</v>
      </c>
      <c r="AI74" s="236"/>
      <c r="AK74" s="240"/>
    </row>
    <row r="75" spans="1:37" x14ac:dyDescent="0.2">
      <c r="A75" s="512"/>
      <c r="B75" s="234" t="s">
        <v>230</v>
      </c>
      <c r="C75" s="235">
        <f t="shared" si="10"/>
        <v>76.683711340207168</v>
      </c>
      <c r="D75" s="235">
        <f t="shared" si="7"/>
        <v>1.2780618556701195</v>
      </c>
      <c r="E75" s="245">
        <f t="shared" si="16"/>
        <v>0.85204123711341284</v>
      </c>
      <c r="F75" s="236">
        <f t="shared" si="0"/>
        <v>2.1301030927835325</v>
      </c>
      <c r="G75" s="238"/>
      <c r="H75" s="514"/>
      <c r="I75" s="234" t="s">
        <v>230</v>
      </c>
      <c r="J75" s="235">
        <f t="shared" si="12"/>
        <v>520.88779166666507</v>
      </c>
      <c r="K75" s="235">
        <f t="shared" si="8"/>
        <v>8.6814631944444187</v>
      </c>
      <c r="L75" s="235">
        <f t="shared" si="9"/>
        <v>5.7240416666666665</v>
      </c>
      <c r="M75" s="236">
        <f t="shared" si="1"/>
        <v>14.405504861111085</v>
      </c>
      <c r="N75" s="236"/>
      <c r="O75" s="512"/>
      <c r="P75" s="234" t="s">
        <v>230</v>
      </c>
      <c r="Q75" s="235">
        <f t="shared" si="15"/>
        <v>1420.9982999999995</v>
      </c>
      <c r="R75" s="235">
        <f t="shared" si="13"/>
        <v>23.683304999999994</v>
      </c>
      <c r="S75" s="235">
        <f t="shared" si="14"/>
        <v>13.796099999999999</v>
      </c>
      <c r="T75" s="236">
        <f t="shared" si="4"/>
        <v>37.479404999999993</v>
      </c>
      <c r="U75" s="236"/>
      <c r="V75" s="512"/>
      <c r="W75" s="234" t="s">
        <v>230</v>
      </c>
      <c r="X75" s="235"/>
      <c r="Y75" s="235"/>
      <c r="Z75" s="235"/>
      <c r="AA75" s="236">
        <f t="shared" si="5"/>
        <v>0</v>
      </c>
      <c r="AB75" s="236"/>
      <c r="AC75" s="512"/>
      <c r="AD75" s="234" t="s">
        <v>230</v>
      </c>
      <c r="AE75" s="235"/>
      <c r="AF75" s="235"/>
      <c r="AG75" s="235"/>
      <c r="AH75" s="236">
        <f t="shared" si="6"/>
        <v>0</v>
      </c>
      <c r="AI75" s="236"/>
      <c r="AK75" s="240"/>
    </row>
    <row r="76" spans="1:37" x14ac:dyDescent="0.2">
      <c r="A76" s="512"/>
      <c r="B76" s="234" t="s">
        <v>231</v>
      </c>
      <c r="C76" s="235">
        <f t="shared" si="10"/>
        <v>75.831670103093757</v>
      </c>
      <c r="D76" s="235">
        <f t="shared" si="7"/>
        <v>1.2638611683848959</v>
      </c>
      <c r="E76" s="245">
        <f t="shared" si="16"/>
        <v>0.85204123711341284</v>
      </c>
      <c r="F76" s="236">
        <f t="shared" ref="F76:F129" si="17">D76+E76</f>
        <v>2.1159024054983089</v>
      </c>
      <c r="G76" s="238"/>
      <c r="H76" s="514"/>
      <c r="I76" s="234" t="s">
        <v>231</v>
      </c>
      <c r="J76" s="235">
        <f t="shared" si="12"/>
        <v>515.16374999999834</v>
      </c>
      <c r="K76" s="235">
        <f t="shared" si="8"/>
        <v>8.586062499999974</v>
      </c>
      <c r="L76" s="235">
        <f t="shared" si="9"/>
        <v>5.7240416666666665</v>
      </c>
      <c r="M76" s="236">
        <f t="shared" si="1"/>
        <v>14.31010416666664</v>
      </c>
      <c r="N76" s="236"/>
      <c r="O76" s="512"/>
      <c r="P76" s="234" t="s">
        <v>231</v>
      </c>
      <c r="Q76" s="235">
        <f t="shared" si="15"/>
        <v>1407.2021999999995</v>
      </c>
      <c r="R76" s="235">
        <f t="shared" si="13"/>
        <v>23.453369999999993</v>
      </c>
      <c r="S76" s="235">
        <f t="shared" si="14"/>
        <v>13.796099999999999</v>
      </c>
      <c r="T76" s="236">
        <f t="shared" si="4"/>
        <v>37.249469999999988</v>
      </c>
      <c r="U76" s="236"/>
      <c r="V76" s="512"/>
      <c r="W76" s="234" t="s">
        <v>231</v>
      </c>
      <c r="X76" s="235"/>
      <c r="Y76" s="235"/>
      <c r="Z76" s="235"/>
      <c r="AA76" s="236">
        <f t="shared" si="5"/>
        <v>0</v>
      </c>
      <c r="AB76" s="236"/>
      <c r="AC76" s="512"/>
      <c r="AD76" s="234" t="s">
        <v>231</v>
      </c>
      <c r="AE76" s="235"/>
      <c r="AF76" s="235"/>
      <c r="AG76" s="235"/>
      <c r="AH76" s="236">
        <f t="shared" si="6"/>
        <v>0</v>
      </c>
      <c r="AI76" s="236"/>
      <c r="AK76" s="240"/>
    </row>
    <row r="77" spans="1:37" x14ac:dyDescent="0.2">
      <c r="A77" s="512"/>
      <c r="B77" s="234" t="s">
        <v>232</v>
      </c>
      <c r="C77" s="235">
        <f t="shared" si="10"/>
        <v>74.979628865980345</v>
      </c>
      <c r="D77" s="235">
        <f t="shared" si="7"/>
        <v>1.2496604810996725</v>
      </c>
      <c r="E77" s="245">
        <f t="shared" si="16"/>
        <v>0.85204123711341284</v>
      </c>
      <c r="F77" s="236">
        <f t="shared" si="17"/>
        <v>2.1017017182130853</v>
      </c>
      <c r="G77" s="238"/>
      <c r="H77" s="514"/>
      <c r="I77" s="234" t="s">
        <v>232</v>
      </c>
      <c r="J77" s="235">
        <f t="shared" si="12"/>
        <v>509.43970833333168</v>
      </c>
      <c r="K77" s="235">
        <f t="shared" si="8"/>
        <v>8.4906618055555274</v>
      </c>
      <c r="L77" s="235">
        <f t="shared" si="9"/>
        <v>5.7240416666666665</v>
      </c>
      <c r="M77" s="236">
        <f t="shared" si="1"/>
        <v>14.214703472222194</v>
      </c>
      <c r="N77" s="236"/>
      <c r="O77" s="512"/>
      <c r="P77" s="234" t="s">
        <v>232</v>
      </c>
      <c r="Q77" s="235">
        <f t="shared" si="15"/>
        <v>1393.4060999999995</v>
      </c>
      <c r="R77" s="235">
        <f t="shared" si="13"/>
        <v>23.223434999999991</v>
      </c>
      <c r="S77" s="235">
        <f t="shared" si="14"/>
        <v>13.796099999999999</v>
      </c>
      <c r="T77" s="236">
        <f t="shared" si="4"/>
        <v>37.019534999999991</v>
      </c>
      <c r="U77" s="236"/>
      <c r="V77" s="512"/>
      <c r="W77" s="234" t="s">
        <v>232</v>
      </c>
      <c r="X77" s="235"/>
      <c r="Y77" s="235"/>
      <c r="Z77" s="235"/>
      <c r="AA77" s="236">
        <f t="shared" si="5"/>
        <v>0</v>
      </c>
      <c r="AB77" s="236"/>
      <c r="AC77" s="512"/>
      <c r="AD77" s="234" t="s">
        <v>232</v>
      </c>
      <c r="AE77" s="235"/>
      <c r="AF77" s="235"/>
      <c r="AG77" s="235"/>
      <c r="AH77" s="236">
        <f t="shared" si="6"/>
        <v>0</v>
      </c>
      <c r="AI77" s="236"/>
      <c r="AK77" s="240"/>
    </row>
    <row r="78" spans="1:37" x14ac:dyDescent="0.2">
      <c r="A78" s="512"/>
      <c r="B78" s="234" t="s">
        <v>233</v>
      </c>
      <c r="C78" s="235">
        <f t="shared" si="10"/>
        <v>74.127587628866934</v>
      </c>
      <c r="D78" s="235">
        <f t="shared" si="7"/>
        <v>1.2354597938144489</v>
      </c>
      <c r="E78" s="245">
        <f t="shared" si="16"/>
        <v>0.85204123711341284</v>
      </c>
      <c r="F78" s="236">
        <f t="shared" si="17"/>
        <v>2.0875010309278617</v>
      </c>
      <c r="G78" s="238"/>
      <c r="H78" s="514"/>
      <c r="I78" s="234" t="s">
        <v>233</v>
      </c>
      <c r="J78" s="235">
        <f t="shared" si="12"/>
        <v>503.71566666666502</v>
      </c>
      <c r="K78" s="235">
        <f t="shared" si="8"/>
        <v>8.3952611111110844</v>
      </c>
      <c r="L78" s="235">
        <f t="shared" si="9"/>
        <v>5.7240416666666665</v>
      </c>
      <c r="M78" s="236">
        <f t="shared" si="1"/>
        <v>14.119302777777751</v>
      </c>
      <c r="N78" s="236"/>
      <c r="O78" s="512"/>
      <c r="P78" s="234" t="s">
        <v>233</v>
      </c>
      <c r="Q78" s="235">
        <f t="shared" si="15"/>
        <v>1379.6099999999994</v>
      </c>
      <c r="R78" s="235">
        <f t="shared" si="13"/>
        <v>22.993499999999994</v>
      </c>
      <c r="S78" s="235">
        <f t="shared" si="14"/>
        <v>13.796099999999999</v>
      </c>
      <c r="T78" s="236">
        <f t="shared" si="4"/>
        <v>36.789599999999993</v>
      </c>
      <c r="U78" s="236"/>
      <c r="V78" s="512"/>
      <c r="W78" s="234" t="s">
        <v>233</v>
      </c>
      <c r="X78" s="235"/>
      <c r="Y78" s="235"/>
      <c r="Z78" s="235"/>
      <c r="AA78" s="236">
        <f t="shared" si="5"/>
        <v>0</v>
      </c>
      <c r="AB78" s="236"/>
      <c r="AC78" s="512"/>
      <c r="AD78" s="234" t="s">
        <v>233</v>
      </c>
      <c r="AE78" s="235"/>
      <c r="AF78" s="235"/>
      <c r="AG78" s="235"/>
      <c r="AH78" s="236">
        <f t="shared" si="6"/>
        <v>0</v>
      </c>
      <c r="AI78" s="236"/>
      <c r="AK78" s="240"/>
    </row>
    <row r="79" spans="1:37" x14ac:dyDescent="0.2">
      <c r="A79" s="512"/>
      <c r="B79" s="234" t="s">
        <v>234</v>
      </c>
      <c r="C79" s="235">
        <f t="shared" si="10"/>
        <v>73.275546391753522</v>
      </c>
      <c r="D79" s="235">
        <f t="shared" si="7"/>
        <v>1.2212591065292255</v>
      </c>
      <c r="E79" s="245">
        <f t="shared" si="16"/>
        <v>0.85204123711341284</v>
      </c>
      <c r="F79" s="236">
        <f t="shared" si="17"/>
        <v>2.0733003436426385</v>
      </c>
      <c r="G79" s="238"/>
      <c r="H79" s="514"/>
      <c r="I79" s="234" t="s">
        <v>234</v>
      </c>
      <c r="J79" s="235">
        <f t="shared" si="12"/>
        <v>497.99162499999835</v>
      </c>
      <c r="K79" s="235">
        <f t="shared" si="8"/>
        <v>8.2998604166666397</v>
      </c>
      <c r="L79" s="235">
        <f t="shared" si="9"/>
        <v>5.7240416666666665</v>
      </c>
      <c r="M79" s="236">
        <f t="shared" si="1"/>
        <v>14.023902083333306</v>
      </c>
      <c r="N79" s="236"/>
      <c r="O79" s="512"/>
      <c r="P79" s="234" t="s">
        <v>234</v>
      </c>
      <c r="Q79" s="235">
        <f t="shared" si="15"/>
        <v>1365.8138999999994</v>
      </c>
      <c r="R79" s="235">
        <f t="shared" si="13"/>
        <v>22.763564999999989</v>
      </c>
      <c r="S79" s="235">
        <f t="shared" si="14"/>
        <v>13.796099999999999</v>
      </c>
      <c r="T79" s="236">
        <f t="shared" si="4"/>
        <v>36.559664999999988</v>
      </c>
      <c r="U79" s="236"/>
      <c r="V79" s="512"/>
      <c r="W79" s="234" t="s">
        <v>234</v>
      </c>
      <c r="X79" s="235"/>
      <c r="Y79" s="235"/>
      <c r="Z79" s="235"/>
      <c r="AA79" s="236">
        <f t="shared" si="5"/>
        <v>0</v>
      </c>
      <c r="AB79" s="236"/>
      <c r="AC79" s="512"/>
      <c r="AD79" s="234" t="s">
        <v>234</v>
      </c>
      <c r="AE79" s="235"/>
      <c r="AF79" s="235"/>
      <c r="AG79" s="235"/>
      <c r="AH79" s="236">
        <f t="shared" si="6"/>
        <v>0</v>
      </c>
      <c r="AI79" s="236"/>
      <c r="AK79" s="240"/>
    </row>
    <row r="80" spans="1:37" x14ac:dyDescent="0.2">
      <c r="A80" s="512"/>
      <c r="B80" s="234" t="s">
        <v>235</v>
      </c>
      <c r="C80" s="235">
        <f t="shared" si="10"/>
        <v>72.423505154640111</v>
      </c>
      <c r="D80" s="235">
        <f t="shared" si="7"/>
        <v>1.2070584192440019</v>
      </c>
      <c r="E80" s="245">
        <f t="shared" si="16"/>
        <v>0.85204123711341284</v>
      </c>
      <c r="F80" s="236">
        <f t="shared" si="17"/>
        <v>2.0590996563574149</v>
      </c>
      <c r="G80" s="238"/>
      <c r="H80" s="514"/>
      <c r="I80" s="234" t="s">
        <v>235</v>
      </c>
      <c r="J80" s="235">
        <f t="shared" si="12"/>
        <v>492.26758333333169</v>
      </c>
      <c r="K80" s="235">
        <f t="shared" si="8"/>
        <v>8.2044597222221949</v>
      </c>
      <c r="L80" s="235">
        <f t="shared" si="9"/>
        <v>5.7240416666666665</v>
      </c>
      <c r="M80" s="236">
        <f t="shared" si="1"/>
        <v>13.928501388888861</v>
      </c>
      <c r="N80" s="236"/>
      <c r="O80" s="512"/>
      <c r="P80" s="234" t="s">
        <v>235</v>
      </c>
      <c r="Q80" s="235">
        <f t="shared" si="15"/>
        <v>1352.0177999999994</v>
      </c>
      <c r="R80" s="235">
        <f t="shared" si="13"/>
        <v>22.533629999999992</v>
      </c>
      <c r="S80" s="235">
        <f t="shared" si="14"/>
        <v>13.796099999999999</v>
      </c>
      <c r="T80" s="236">
        <f t="shared" si="4"/>
        <v>36.329729999999991</v>
      </c>
      <c r="U80" s="236"/>
      <c r="V80" s="512"/>
      <c r="W80" s="234" t="s">
        <v>235</v>
      </c>
      <c r="X80" s="235"/>
      <c r="Y80" s="235"/>
      <c r="Z80" s="235"/>
      <c r="AA80" s="236">
        <f t="shared" si="5"/>
        <v>0</v>
      </c>
      <c r="AB80" s="236"/>
      <c r="AC80" s="512"/>
      <c r="AD80" s="234" t="s">
        <v>235</v>
      </c>
      <c r="AE80" s="235"/>
      <c r="AF80" s="235"/>
      <c r="AG80" s="235"/>
      <c r="AH80" s="236">
        <f t="shared" si="6"/>
        <v>0</v>
      </c>
      <c r="AI80" s="236"/>
      <c r="AK80" s="240"/>
    </row>
    <row r="81" spans="1:37" x14ac:dyDescent="0.2">
      <c r="A81" s="512"/>
      <c r="B81" s="234" t="s">
        <v>236</v>
      </c>
      <c r="C81" s="235">
        <f t="shared" si="10"/>
        <v>71.5714639175267</v>
      </c>
      <c r="D81" s="235">
        <f t="shared" si="7"/>
        <v>1.1928577319587783</v>
      </c>
      <c r="E81" s="245">
        <f t="shared" si="16"/>
        <v>0.85204123711341284</v>
      </c>
      <c r="F81" s="236">
        <f t="shared" si="17"/>
        <v>2.0448989690721913</v>
      </c>
      <c r="G81" s="239">
        <f>SUM(D70:D81)</f>
        <v>15.251538144330093</v>
      </c>
      <c r="H81" s="515"/>
      <c r="I81" s="234" t="s">
        <v>236</v>
      </c>
      <c r="J81" s="235">
        <f t="shared" si="12"/>
        <v>486.54354166666502</v>
      </c>
      <c r="K81" s="235">
        <f t="shared" si="8"/>
        <v>8.1090590277777519</v>
      </c>
      <c r="L81" s="235">
        <f t="shared" si="9"/>
        <v>5.7240416666666665</v>
      </c>
      <c r="M81" s="236">
        <f t="shared" si="1"/>
        <v>13.833100694444418</v>
      </c>
      <c r="N81" s="239">
        <f>SUM(K70:K81)</f>
        <v>103.60515416666637</v>
      </c>
      <c r="O81" s="512"/>
      <c r="P81" s="234" t="s">
        <v>236</v>
      </c>
      <c r="Q81" s="235">
        <f t="shared" si="15"/>
        <v>1338.2216999999994</v>
      </c>
      <c r="R81" s="235">
        <f t="shared" si="13"/>
        <v>22.303694999999991</v>
      </c>
      <c r="S81" s="235">
        <f t="shared" si="14"/>
        <v>13.796099999999999</v>
      </c>
      <c r="T81" s="236">
        <f t="shared" si="4"/>
        <v>36.099794999999986</v>
      </c>
      <c r="U81" s="239">
        <f>SUM(R70:R81)</f>
        <v>282.82004999999992</v>
      </c>
      <c r="V81" s="512"/>
      <c r="W81" s="234" t="s">
        <v>236</v>
      </c>
      <c r="X81" s="235"/>
      <c r="Y81" s="235"/>
      <c r="Z81" s="235"/>
      <c r="AA81" s="236">
        <f t="shared" si="5"/>
        <v>0</v>
      </c>
      <c r="AB81" s="239">
        <f>SUM(Y70:Y81)</f>
        <v>0</v>
      </c>
      <c r="AC81" s="512"/>
      <c r="AD81" s="234" t="s">
        <v>236</v>
      </c>
      <c r="AE81" s="235"/>
      <c r="AF81" s="235"/>
      <c r="AG81" s="235"/>
      <c r="AH81" s="236">
        <f t="shared" si="6"/>
        <v>0</v>
      </c>
      <c r="AI81" s="239">
        <f>SUM(AF70:AF81)</f>
        <v>0</v>
      </c>
      <c r="AJ81" s="208">
        <f>AJ69+1</f>
        <v>2027</v>
      </c>
      <c r="AK81" s="240">
        <f>G81+N81+U81+AB81+AI81</f>
        <v>401.67674231099636</v>
      </c>
    </row>
    <row r="82" spans="1:37" x14ac:dyDescent="0.2">
      <c r="A82" s="512">
        <f>A70+1</f>
        <v>2028</v>
      </c>
      <c r="B82" s="234" t="s">
        <v>225</v>
      </c>
      <c r="C82" s="235">
        <f t="shared" si="10"/>
        <v>70.719422680413288</v>
      </c>
      <c r="D82" s="235">
        <f t="shared" si="7"/>
        <v>1.1786570446735549</v>
      </c>
      <c r="E82" s="245">
        <f t="shared" si="16"/>
        <v>0.85204123711341284</v>
      </c>
      <c r="F82" s="236">
        <f t="shared" si="17"/>
        <v>2.0306982817869677</v>
      </c>
      <c r="G82" s="237"/>
      <c r="H82" s="513">
        <f>H70+1</f>
        <v>2028</v>
      </c>
      <c r="I82" s="234" t="s">
        <v>225</v>
      </c>
      <c r="J82" s="235">
        <f t="shared" si="12"/>
        <v>480.81949999999836</v>
      </c>
      <c r="K82" s="235">
        <f t="shared" si="8"/>
        <v>8.0136583333333054</v>
      </c>
      <c r="L82" s="235">
        <f t="shared" si="9"/>
        <v>5.7240416666666665</v>
      </c>
      <c r="M82" s="236">
        <f t="shared" si="1"/>
        <v>13.737699999999972</v>
      </c>
      <c r="N82" s="236"/>
      <c r="O82" s="512">
        <f>O70+1</f>
        <v>2028</v>
      </c>
      <c r="P82" s="234" t="s">
        <v>225</v>
      </c>
      <c r="Q82" s="235">
        <f t="shared" si="15"/>
        <v>1324.4255999999993</v>
      </c>
      <c r="R82" s="235">
        <f t="shared" si="13"/>
        <v>22.073759999999989</v>
      </c>
      <c r="S82" s="235">
        <f t="shared" si="14"/>
        <v>13.796099999999999</v>
      </c>
      <c r="T82" s="236">
        <f t="shared" si="4"/>
        <v>35.869859999999989</v>
      </c>
      <c r="U82" s="236"/>
      <c r="V82" s="512">
        <f>V70+1</f>
        <v>2027</v>
      </c>
      <c r="W82" s="234" t="s">
        <v>225</v>
      </c>
      <c r="X82" s="235"/>
      <c r="Y82" s="235"/>
      <c r="Z82" s="235"/>
      <c r="AA82" s="236">
        <f t="shared" si="5"/>
        <v>0</v>
      </c>
      <c r="AB82" s="236"/>
      <c r="AC82" s="512">
        <f>AC70+1</f>
        <v>2027</v>
      </c>
      <c r="AD82" s="234" t="s">
        <v>225</v>
      </c>
      <c r="AE82" s="235"/>
      <c r="AF82" s="235"/>
      <c r="AG82" s="235"/>
      <c r="AH82" s="236">
        <f t="shared" si="6"/>
        <v>0</v>
      </c>
      <c r="AI82" s="236"/>
      <c r="AK82" s="240"/>
    </row>
    <row r="83" spans="1:37" x14ac:dyDescent="0.2">
      <c r="A83" s="512"/>
      <c r="B83" s="234" t="s">
        <v>226</v>
      </c>
      <c r="C83" s="235">
        <f t="shared" si="10"/>
        <v>69.867381443299877</v>
      </c>
      <c r="D83" s="235">
        <f t="shared" si="7"/>
        <v>1.1644563573883313</v>
      </c>
      <c r="E83" s="245">
        <f t="shared" si="16"/>
        <v>0.85204123711341284</v>
      </c>
      <c r="F83" s="236">
        <f t="shared" si="17"/>
        <v>2.016497594501744</v>
      </c>
      <c r="G83" s="238"/>
      <c r="H83" s="514"/>
      <c r="I83" s="234" t="s">
        <v>226</v>
      </c>
      <c r="J83" s="235">
        <f t="shared" si="12"/>
        <v>475.09545833333169</v>
      </c>
      <c r="K83" s="235">
        <f t="shared" si="8"/>
        <v>7.9182576388888615</v>
      </c>
      <c r="L83" s="235">
        <f t="shared" si="9"/>
        <v>5.7240416666666665</v>
      </c>
      <c r="M83" s="236">
        <f t="shared" si="1"/>
        <v>13.642299305555529</v>
      </c>
      <c r="N83" s="236"/>
      <c r="O83" s="512"/>
      <c r="P83" s="234" t="s">
        <v>226</v>
      </c>
      <c r="Q83" s="235">
        <f t="shared" si="15"/>
        <v>1310.6294999999993</v>
      </c>
      <c r="R83" s="235">
        <f t="shared" si="13"/>
        <v>21.843824999999992</v>
      </c>
      <c r="S83" s="235">
        <f t="shared" si="14"/>
        <v>13.796099999999999</v>
      </c>
      <c r="T83" s="236">
        <f t="shared" si="4"/>
        <v>35.639924999999991</v>
      </c>
      <c r="U83" s="236"/>
      <c r="V83" s="512"/>
      <c r="W83" s="234" t="s">
        <v>226</v>
      </c>
      <c r="X83" s="235"/>
      <c r="Y83" s="235"/>
      <c r="Z83" s="235"/>
      <c r="AA83" s="236">
        <f t="shared" si="5"/>
        <v>0</v>
      </c>
      <c r="AB83" s="236"/>
      <c r="AC83" s="512"/>
      <c r="AD83" s="234" t="s">
        <v>226</v>
      </c>
      <c r="AE83" s="235"/>
      <c r="AF83" s="235"/>
      <c r="AG83" s="235"/>
      <c r="AH83" s="236">
        <f t="shared" si="6"/>
        <v>0</v>
      </c>
      <c r="AI83" s="236"/>
      <c r="AK83" s="240"/>
    </row>
    <row r="84" spans="1:37" x14ac:dyDescent="0.2">
      <c r="A84" s="512"/>
      <c r="B84" s="234" t="s">
        <v>227</v>
      </c>
      <c r="C84" s="235">
        <f t="shared" si="10"/>
        <v>69.015340206186465</v>
      </c>
      <c r="D84" s="235">
        <f t="shared" si="7"/>
        <v>1.1502556701031079</v>
      </c>
      <c r="E84" s="245">
        <f t="shared" si="16"/>
        <v>0.85204123711341284</v>
      </c>
      <c r="F84" s="236">
        <f t="shared" si="17"/>
        <v>2.0022969072165209</v>
      </c>
      <c r="G84" s="238"/>
      <c r="H84" s="514"/>
      <c r="I84" s="234" t="s">
        <v>227</v>
      </c>
      <c r="J84" s="235">
        <f t="shared" si="12"/>
        <v>469.37141666666503</v>
      </c>
      <c r="K84" s="235">
        <f t="shared" si="8"/>
        <v>7.8228569444444176</v>
      </c>
      <c r="L84" s="235">
        <f t="shared" si="9"/>
        <v>5.7240416666666665</v>
      </c>
      <c r="M84" s="236">
        <f t="shared" si="1"/>
        <v>13.546898611111084</v>
      </c>
      <c r="N84" s="236"/>
      <c r="O84" s="512"/>
      <c r="P84" s="234" t="s">
        <v>227</v>
      </c>
      <c r="Q84" s="235">
        <f t="shared" si="15"/>
        <v>1296.8333999999993</v>
      </c>
      <c r="R84" s="235">
        <f t="shared" si="13"/>
        <v>21.613889999999987</v>
      </c>
      <c r="S84" s="235">
        <f t="shared" si="14"/>
        <v>13.796099999999999</v>
      </c>
      <c r="T84" s="236">
        <f t="shared" si="4"/>
        <v>35.409989999999986</v>
      </c>
      <c r="U84" s="236"/>
      <c r="V84" s="512"/>
      <c r="W84" s="234" t="s">
        <v>227</v>
      </c>
      <c r="X84" s="235"/>
      <c r="Y84" s="235"/>
      <c r="Z84" s="235"/>
      <c r="AA84" s="236">
        <f t="shared" si="5"/>
        <v>0</v>
      </c>
      <c r="AB84" s="236"/>
      <c r="AC84" s="512"/>
      <c r="AD84" s="234" t="s">
        <v>227</v>
      </c>
      <c r="AE84" s="235"/>
      <c r="AF84" s="235"/>
      <c r="AG84" s="235"/>
      <c r="AH84" s="236">
        <f t="shared" si="6"/>
        <v>0</v>
      </c>
      <c r="AI84" s="236"/>
      <c r="AK84" s="240"/>
    </row>
    <row r="85" spans="1:37" x14ac:dyDescent="0.2">
      <c r="A85" s="512"/>
      <c r="B85" s="234" t="s">
        <v>228</v>
      </c>
      <c r="C85" s="235">
        <f t="shared" si="10"/>
        <v>68.163298969073054</v>
      </c>
      <c r="D85" s="235">
        <f t="shared" si="7"/>
        <v>1.1360549828178843</v>
      </c>
      <c r="E85" s="245">
        <f t="shared" si="16"/>
        <v>0.85204123711341284</v>
      </c>
      <c r="F85" s="236">
        <f t="shared" si="17"/>
        <v>1.9880962199312973</v>
      </c>
      <c r="G85" s="238"/>
      <c r="H85" s="514"/>
      <c r="I85" s="234" t="s">
        <v>228</v>
      </c>
      <c r="J85" s="235">
        <f t="shared" si="12"/>
        <v>463.64737499999836</v>
      </c>
      <c r="K85" s="235">
        <f t="shared" si="8"/>
        <v>7.7274562499999737</v>
      </c>
      <c r="L85" s="235">
        <f t="shared" si="9"/>
        <v>5.7240416666666665</v>
      </c>
      <c r="M85" s="236">
        <f t="shared" si="1"/>
        <v>13.451497916666639</v>
      </c>
      <c r="N85" s="236"/>
      <c r="O85" s="512"/>
      <c r="P85" s="234" t="s">
        <v>228</v>
      </c>
      <c r="Q85" s="235">
        <f t="shared" si="15"/>
        <v>1283.0372999999993</v>
      </c>
      <c r="R85" s="235">
        <f t="shared" si="13"/>
        <v>21.38395499999999</v>
      </c>
      <c r="S85" s="235">
        <f t="shared" si="14"/>
        <v>13.796099999999999</v>
      </c>
      <c r="T85" s="236">
        <f t="shared" si="4"/>
        <v>35.180054999999989</v>
      </c>
      <c r="U85" s="236"/>
      <c r="V85" s="512"/>
      <c r="W85" s="234" t="s">
        <v>228</v>
      </c>
      <c r="X85" s="235"/>
      <c r="Y85" s="235"/>
      <c r="Z85" s="235"/>
      <c r="AA85" s="236">
        <f t="shared" si="5"/>
        <v>0</v>
      </c>
      <c r="AB85" s="236"/>
      <c r="AC85" s="512"/>
      <c r="AD85" s="234" t="s">
        <v>228</v>
      </c>
      <c r="AE85" s="235"/>
      <c r="AF85" s="235"/>
      <c r="AG85" s="235"/>
      <c r="AH85" s="236">
        <f t="shared" si="6"/>
        <v>0</v>
      </c>
      <c r="AI85" s="236"/>
      <c r="AK85" s="240"/>
    </row>
    <row r="86" spans="1:37" x14ac:dyDescent="0.2">
      <c r="A86" s="512"/>
      <c r="B86" s="234" t="s">
        <v>229</v>
      </c>
      <c r="C86" s="235">
        <f t="shared" si="10"/>
        <v>67.311257731959643</v>
      </c>
      <c r="D86" s="235">
        <f t="shared" si="7"/>
        <v>1.1218542955326607</v>
      </c>
      <c r="E86" s="245">
        <f t="shared" si="16"/>
        <v>0.85204123711341284</v>
      </c>
      <c r="F86" s="236">
        <f t="shared" si="17"/>
        <v>1.9738955326460736</v>
      </c>
      <c r="G86" s="238"/>
      <c r="H86" s="514"/>
      <c r="I86" s="234" t="s">
        <v>229</v>
      </c>
      <c r="J86" s="235">
        <f t="shared" si="12"/>
        <v>457.9233333333317</v>
      </c>
      <c r="K86" s="235">
        <f t="shared" si="8"/>
        <v>7.6320555555555289</v>
      </c>
      <c r="L86" s="235">
        <f t="shared" si="9"/>
        <v>5.7240416666666665</v>
      </c>
      <c r="M86" s="236">
        <f t="shared" si="1"/>
        <v>13.356097222222196</v>
      </c>
      <c r="N86" s="236"/>
      <c r="O86" s="512"/>
      <c r="P86" s="234" t="s">
        <v>229</v>
      </c>
      <c r="Q86" s="235">
        <f t="shared" si="15"/>
        <v>1269.2411999999993</v>
      </c>
      <c r="R86" s="235">
        <f t="shared" si="13"/>
        <v>21.154019999999988</v>
      </c>
      <c r="S86" s="235">
        <f t="shared" si="14"/>
        <v>13.796099999999999</v>
      </c>
      <c r="T86" s="236">
        <f t="shared" si="4"/>
        <v>34.950119999999984</v>
      </c>
      <c r="U86" s="236"/>
      <c r="V86" s="512"/>
      <c r="W86" s="234" t="s">
        <v>229</v>
      </c>
      <c r="X86" s="235"/>
      <c r="Y86" s="235"/>
      <c r="Z86" s="235"/>
      <c r="AA86" s="236">
        <f t="shared" si="5"/>
        <v>0</v>
      </c>
      <c r="AB86" s="236"/>
      <c r="AC86" s="512"/>
      <c r="AD86" s="234" t="s">
        <v>229</v>
      </c>
      <c r="AE86" s="235"/>
      <c r="AF86" s="235"/>
      <c r="AG86" s="235"/>
      <c r="AH86" s="236">
        <f t="shared" si="6"/>
        <v>0</v>
      </c>
      <c r="AI86" s="236"/>
      <c r="AK86" s="240"/>
    </row>
    <row r="87" spans="1:37" x14ac:dyDescent="0.2">
      <c r="A87" s="512"/>
      <c r="B87" s="234" t="s">
        <v>230</v>
      </c>
      <c r="C87" s="235">
        <f t="shared" si="10"/>
        <v>66.459216494846231</v>
      </c>
      <c r="D87" s="235">
        <f t="shared" si="7"/>
        <v>1.1076536082474373</v>
      </c>
      <c r="E87" s="245">
        <f t="shared" si="16"/>
        <v>0.85204123711341284</v>
      </c>
      <c r="F87" s="236">
        <f t="shared" si="17"/>
        <v>1.95969484536085</v>
      </c>
      <c r="G87" s="238"/>
      <c r="H87" s="514"/>
      <c r="I87" s="234" t="s">
        <v>230</v>
      </c>
      <c r="J87" s="235">
        <f t="shared" si="12"/>
        <v>452.19929166666503</v>
      </c>
      <c r="K87" s="235">
        <f t="shared" si="8"/>
        <v>7.5366548611110842</v>
      </c>
      <c r="L87" s="235">
        <f t="shared" si="9"/>
        <v>5.7240416666666665</v>
      </c>
      <c r="M87" s="236">
        <f t="shared" ref="M87:M150" si="18">K87+L87</f>
        <v>13.26069652777775</v>
      </c>
      <c r="N87" s="236"/>
      <c r="O87" s="512"/>
      <c r="P87" s="234" t="s">
        <v>230</v>
      </c>
      <c r="Q87" s="235">
        <f t="shared" si="15"/>
        <v>1255.4450999999992</v>
      </c>
      <c r="R87" s="235">
        <f t="shared" si="13"/>
        <v>20.924084999999987</v>
      </c>
      <c r="S87" s="235">
        <f t="shared" si="14"/>
        <v>13.796099999999999</v>
      </c>
      <c r="T87" s="236">
        <f t="shared" si="4"/>
        <v>34.720184999999987</v>
      </c>
      <c r="U87" s="236"/>
      <c r="V87" s="512"/>
      <c r="W87" s="234" t="s">
        <v>230</v>
      </c>
      <c r="X87" s="235"/>
      <c r="Y87" s="235"/>
      <c r="Z87" s="235"/>
      <c r="AA87" s="236">
        <f t="shared" si="5"/>
        <v>0</v>
      </c>
      <c r="AB87" s="236"/>
      <c r="AC87" s="512"/>
      <c r="AD87" s="234" t="s">
        <v>230</v>
      </c>
      <c r="AE87" s="235"/>
      <c r="AF87" s="235"/>
      <c r="AG87" s="235"/>
      <c r="AH87" s="236">
        <f t="shared" si="6"/>
        <v>0</v>
      </c>
      <c r="AI87" s="236"/>
      <c r="AK87" s="240"/>
    </row>
    <row r="88" spans="1:37" x14ac:dyDescent="0.2">
      <c r="A88" s="512"/>
      <c r="B88" s="234" t="s">
        <v>231</v>
      </c>
      <c r="C88" s="235">
        <f t="shared" si="10"/>
        <v>65.60717525773282</v>
      </c>
      <c r="D88" s="235">
        <f t="shared" si="7"/>
        <v>1.0934529209622137</v>
      </c>
      <c r="E88" s="245">
        <f t="shared" si="16"/>
        <v>0.85204123711341284</v>
      </c>
      <c r="F88" s="236">
        <f t="shared" si="17"/>
        <v>1.9454941580756264</v>
      </c>
      <c r="G88" s="238"/>
      <c r="H88" s="514"/>
      <c r="I88" s="234" t="s">
        <v>231</v>
      </c>
      <c r="J88" s="235">
        <f t="shared" si="12"/>
        <v>446.47524999999837</v>
      </c>
      <c r="K88" s="235">
        <f t="shared" si="8"/>
        <v>7.4412541666666394</v>
      </c>
      <c r="L88" s="235">
        <f t="shared" si="9"/>
        <v>5.7240416666666665</v>
      </c>
      <c r="M88" s="236">
        <f t="shared" si="18"/>
        <v>13.165295833333307</v>
      </c>
      <c r="N88" s="236"/>
      <c r="O88" s="512"/>
      <c r="P88" s="234" t="s">
        <v>231</v>
      </c>
      <c r="Q88" s="235">
        <f t="shared" si="15"/>
        <v>1241.6489999999992</v>
      </c>
      <c r="R88" s="235">
        <f t="shared" si="13"/>
        <v>20.69414999999999</v>
      </c>
      <c r="S88" s="235">
        <f t="shared" si="14"/>
        <v>13.796099999999999</v>
      </c>
      <c r="T88" s="236">
        <f t="shared" si="4"/>
        <v>34.490249999999989</v>
      </c>
      <c r="U88" s="236"/>
      <c r="V88" s="512"/>
      <c r="W88" s="234" t="s">
        <v>231</v>
      </c>
      <c r="X88" s="235"/>
      <c r="Y88" s="235"/>
      <c r="Z88" s="235"/>
      <c r="AA88" s="236">
        <f t="shared" si="5"/>
        <v>0</v>
      </c>
      <c r="AB88" s="236"/>
      <c r="AC88" s="512"/>
      <c r="AD88" s="234" t="s">
        <v>231</v>
      </c>
      <c r="AE88" s="235"/>
      <c r="AF88" s="235"/>
      <c r="AG88" s="235"/>
      <c r="AH88" s="236">
        <f t="shared" si="6"/>
        <v>0</v>
      </c>
      <c r="AI88" s="236"/>
      <c r="AK88" s="240"/>
    </row>
    <row r="89" spans="1:37" x14ac:dyDescent="0.2">
      <c r="A89" s="512"/>
      <c r="B89" s="234" t="s">
        <v>232</v>
      </c>
      <c r="C89" s="235">
        <f t="shared" si="10"/>
        <v>64.755134020619408</v>
      </c>
      <c r="D89" s="235">
        <f t="shared" si="7"/>
        <v>1.0792522336769903</v>
      </c>
      <c r="E89" s="245">
        <f t="shared" si="16"/>
        <v>0.85204123711341284</v>
      </c>
      <c r="F89" s="236">
        <f t="shared" si="17"/>
        <v>1.9312934707904033</v>
      </c>
      <c r="G89" s="238"/>
      <c r="H89" s="514"/>
      <c r="I89" s="234" t="s">
        <v>232</v>
      </c>
      <c r="J89" s="235">
        <f t="shared" si="12"/>
        <v>440.7512083333317</v>
      </c>
      <c r="K89" s="235">
        <f t="shared" si="8"/>
        <v>7.3458534722221955</v>
      </c>
      <c r="L89" s="235">
        <f t="shared" si="9"/>
        <v>5.7240416666666665</v>
      </c>
      <c r="M89" s="236">
        <f t="shared" si="18"/>
        <v>13.069895138888862</v>
      </c>
      <c r="N89" s="236"/>
      <c r="O89" s="512"/>
      <c r="P89" s="234" t="s">
        <v>232</v>
      </c>
      <c r="Q89" s="235">
        <f t="shared" si="15"/>
        <v>1227.8528999999992</v>
      </c>
      <c r="R89" s="235">
        <f t="shared" si="13"/>
        <v>20.464214999999985</v>
      </c>
      <c r="S89" s="235">
        <f t="shared" si="14"/>
        <v>13.796099999999999</v>
      </c>
      <c r="T89" s="236">
        <f t="shared" si="4"/>
        <v>34.260314999999984</v>
      </c>
      <c r="U89" s="236"/>
      <c r="V89" s="512"/>
      <c r="W89" s="234" t="s">
        <v>232</v>
      </c>
      <c r="X89" s="235"/>
      <c r="Y89" s="235"/>
      <c r="Z89" s="235"/>
      <c r="AA89" s="236">
        <f t="shared" si="5"/>
        <v>0</v>
      </c>
      <c r="AB89" s="236"/>
      <c r="AC89" s="512"/>
      <c r="AD89" s="234" t="s">
        <v>232</v>
      </c>
      <c r="AE89" s="235"/>
      <c r="AF89" s="235"/>
      <c r="AG89" s="235"/>
      <c r="AH89" s="236">
        <f t="shared" si="6"/>
        <v>0</v>
      </c>
      <c r="AI89" s="236"/>
      <c r="AK89" s="240"/>
    </row>
    <row r="90" spans="1:37" x14ac:dyDescent="0.2">
      <c r="A90" s="512"/>
      <c r="B90" s="234" t="s">
        <v>233</v>
      </c>
      <c r="C90" s="235">
        <f t="shared" si="10"/>
        <v>63.903092783505997</v>
      </c>
      <c r="D90" s="235">
        <f t="shared" si="7"/>
        <v>1.0650515463917667</v>
      </c>
      <c r="E90" s="245">
        <f t="shared" si="16"/>
        <v>0.85204123711341284</v>
      </c>
      <c r="F90" s="236">
        <f t="shared" si="17"/>
        <v>1.9170927835051796</v>
      </c>
      <c r="G90" s="238"/>
      <c r="H90" s="514"/>
      <c r="I90" s="234" t="s">
        <v>233</v>
      </c>
      <c r="J90" s="235">
        <f t="shared" si="12"/>
        <v>435.02716666666504</v>
      </c>
      <c r="K90" s="235">
        <f t="shared" si="8"/>
        <v>7.2504527777777517</v>
      </c>
      <c r="L90" s="235">
        <f t="shared" si="9"/>
        <v>5.7240416666666665</v>
      </c>
      <c r="M90" s="236">
        <f t="shared" si="18"/>
        <v>12.974494444444417</v>
      </c>
      <c r="N90" s="236"/>
      <c r="O90" s="512"/>
      <c r="P90" s="234" t="s">
        <v>233</v>
      </c>
      <c r="Q90" s="235">
        <f t="shared" si="15"/>
        <v>1214.0567999999992</v>
      </c>
      <c r="R90" s="235">
        <f t="shared" si="13"/>
        <v>20.234279999999988</v>
      </c>
      <c r="S90" s="235">
        <f t="shared" si="14"/>
        <v>13.796099999999999</v>
      </c>
      <c r="T90" s="236">
        <f t="shared" si="4"/>
        <v>34.030379999999987</v>
      </c>
      <c r="U90" s="236"/>
      <c r="V90" s="512"/>
      <c r="W90" s="234" t="s">
        <v>233</v>
      </c>
      <c r="X90" s="235"/>
      <c r="Y90" s="235"/>
      <c r="Z90" s="235"/>
      <c r="AA90" s="236">
        <f t="shared" si="5"/>
        <v>0</v>
      </c>
      <c r="AB90" s="236"/>
      <c r="AC90" s="512"/>
      <c r="AD90" s="234" t="s">
        <v>233</v>
      </c>
      <c r="AE90" s="235"/>
      <c r="AF90" s="235"/>
      <c r="AG90" s="235"/>
      <c r="AH90" s="236">
        <f t="shared" si="6"/>
        <v>0</v>
      </c>
      <c r="AI90" s="236"/>
      <c r="AK90" s="240"/>
    </row>
    <row r="91" spans="1:37" x14ac:dyDescent="0.2">
      <c r="A91" s="512"/>
      <c r="B91" s="234" t="s">
        <v>234</v>
      </c>
      <c r="C91" s="235">
        <f t="shared" si="10"/>
        <v>63.051051546392586</v>
      </c>
      <c r="D91" s="235">
        <f t="shared" si="7"/>
        <v>1.0508508591065431</v>
      </c>
      <c r="E91" s="245">
        <f t="shared" si="16"/>
        <v>0.85204123711341284</v>
      </c>
      <c r="F91" s="236">
        <f t="shared" si="17"/>
        <v>1.902892096219956</v>
      </c>
      <c r="G91" s="238"/>
      <c r="H91" s="514"/>
      <c r="I91" s="234" t="s">
        <v>234</v>
      </c>
      <c r="J91" s="235">
        <f t="shared" si="12"/>
        <v>429.30312499999837</v>
      </c>
      <c r="K91" s="235">
        <f t="shared" si="8"/>
        <v>7.1550520833333069</v>
      </c>
      <c r="L91" s="235">
        <f t="shared" si="9"/>
        <v>5.7240416666666665</v>
      </c>
      <c r="M91" s="236">
        <f t="shared" si="18"/>
        <v>12.879093749999974</v>
      </c>
      <c r="N91" s="236"/>
      <c r="O91" s="512"/>
      <c r="P91" s="234" t="s">
        <v>234</v>
      </c>
      <c r="Q91" s="235">
        <f t="shared" si="15"/>
        <v>1200.2606999999991</v>
      </c>
      <c r="R91" s="235">
        <f t="shared" si="13"/>
        <v>20.004344999999986</v>
      </c>
      <c r="S91" s="235">
        <f t="shared" si="14"/>
        <v>13.796099999999999</v>
      </c>
      <c r="T91" s="236">
        <f t="shared" si="4"/>
        <v>33.800444999999982</v>
      </c>
      <c r="U91" s="236"/>
      <c r="V91" s="512"/>
      <c r="W91" s="234" t="s">
        <v>234</v>
      </c>
      <c r="X91" s="235"/>
      <c r="Y91" s="235"/>
      <c r="Z91" s="235"/>
      <c r="AA91" s="236">
        <f t="shared" si="5"/>
        <v>0</v>
      </c>
      <c r="AB91" s="236"/>
      <c r="AC91" s="512"/>
      <c r="AD91" s="234" t="s">
        <v>234</v>
      </c>
      <c r="AE91" s="235"/>
      <c r="AF91" s="235"/>
      <c r="AG91" s="235"/>
      <c r="AH91" s="236">
        <f t="shared" si="6"/>
        <v>0</v>
      </c>
      <c r="AI91" s="236"/>
      <c r="AK91" s="240"/>
    </row>
    <row r="92" spans="1:37" x14ac:dyDescent="0.2">
      <c r="A92" s="512"/>
      <c r="B92" s="234" t="s">
        <v>235</v>
      </c>
      <c r="C92" s="235">
        <f t="shared" si="10"/>
        <v>62.199010309279174</v>
      </c>
      <c r="D92" s="235">
        <f t="shared" si="7"/>
        <v>1.0366501718213197</v>
      </c>
      <c r="E92" s="245">
        <f t="shared" si="16"/>
        <v>0.85204123711341284</v>
      </c>
      <c r="F92" s="236">
        <f t="shared" si="17"/>
        <v>1.8886914089347324</v>
      </c>
      <c r="G92" s="238"/>
      <c r="H92" s="514"/>
      <c r="I92" s="234" t="s">
        <v>235</v>
      </c>
      <c r="J92" s="235">
        <f t="shared" si="12"/>
        <v>423.57908333333171</v>
      </c>
      <c r="K92" s="235">
        <f t="shared" si="8"/>
        <v>7.0596513888888621</v>
      </c>
      <c r="L92" s="235">
        <f t="shared" si="9"/>
        <v>5.7240416666666665</v>
      </c>
      <c r="M92" s="236">
        <f t="shared" si="18"/>
        <v>12.783693055555528</v>
      </c>
      <c r="N92" s="236"/>
      <c r="O92" s="512"/>
      <c r="P92" s="234" t="s">
        <v>235</v>
      </c>
      <c r="Q92" s="235">
        <f t="shared" si="15"/>
        <v>1186.4645999999991</v>
      </c>
      <c r="R92" s="235">
        <f t="shared" si="13"/>
        <v>19.774409999999985</v>
      </c>
      <c r="S92" s="235">
        <f t="shared" si="14"/>
        <v>13.796099999999999</v>
      </c>
      <c r="T92" s="236">
        <f t="shared" si="4"/>
        <v>33.570509999999985</v>
      </c>
      <c r="U92" s="236"/>
      <c r="V92" s="512"/>
      <c r="W92" s="234" t="s">
        <v>235</v>
      </c>
      <c r="X92" s="235"/>
      <c r="Y92" s="235"/>
      <c r="Z92" s="235"/>
      <c r="AA92" s="236">
        <f t="shared" si="5"/>
        <v>0</v>
      </c>
      <c r="AB92" s="236"/>
      <c r="AC92" s="512"/>
      <c r="AD92" s="234" t="s">
        <v>235</v>
      </c>
      <c r="AE92" s="235"/>
      <c r="AF92" s="235"/>
      <c r="AG92" s="235"/>
      <c r="AH92" s="236">
        <f t="shared" si="6"/>
        <v>0</v>
      </c>
      <c r="AI92" s="236"/>
      <c r="AK92" s="240"/>
    </row>
    <row r="93" spans="1:37" x14ac:dyDescent="0.2">
      <c r="A93" s="512"/>
      <c r="B93" s="234" t="s">
        <v>236</v>
      </c>
      <c r="C93" s="235">
        <f t="shared" si="10"/>
        <v>61.346969072165763</v>
      </c>
      <c r="D93" s="235">
        <f t="shared" si="7"/>
        <v>1.0224494845360961</v>
      </c>
      <c r="E93" s="245">
        <f>$C$68/($D$8-23)</f>
        <v>0.85204123711341284</v>
      </c>
      <c r="F93" s="236">
        <f t="shared" si="17"/>
        <v>1.8744907216495088</v>
      </c>
      <c r="G93" s="239">
        <f>SUM(D82:D93)</f>
        <v>13.206639175257907</v>
      </c>
      <c r="H93" s="515"/>
      <c r="I93" s="234" t="s">
        <v>236</v>
      </c>
      <c r="J93" s="235">
        <f t="shared" si="12"/>
        <v>417.85504166666504</v>
      </c>
      <c r="K93" s="235">
        <f t="shared" si="8"/>
        <v>6.9642506944444174</v>
      </c>
      <c r="L93" s="235">
        <f t="shared" si="9"/>
        <v>5.7240416666666665</v>
      </c>
      <c r="M93" s="236">
        <f t="shared" si="18"/>
        <v>12.688292361111085</v>
      </c>
      <c r="N93" s="239">
        <f>SUM(K82:K93)</f>
        <v>89.867454166666334</v>
      </c>
      <c r="O93" s="512"/>
      <c r="P93" s="234" t="s">
        <v>236</v>
      </c>
      <c r="Q93" s="235">
        <f t="shared" si="15"/>
        <v>1172.6684999999991</v>
      </c>
      <c r="R93" s="235">
        <f t="shared" si="13"/>
        <v>19.544474999999988</v>
      </c>
      <c r="S93" s="235">
        <f t="shared" si="14"/>
        <v>13.796099999999999</v>
      </c>
      <c r="T93" s="236">
        <f t="shared" si="4"/>
        <v>33.340574999999987</v>
      </c>
      <c r="U93" s="239">
        <f>SUM(R82:R93)</f>
        <v>249.70940999999982</v>
      </c>
      <c r="V93" s="512"/>
      <c r="W93" s="234" t="s">
        <v>236</v>
      </c>
      <c r="X93" s="235"/>
      <c r="Y93" s="235"/>
      <c r="Z93" s="235"/>
      <c r="AA93" s="236">
        <f t="shared" si="5"/>
        <v>0</v>
      </c>
      <c r="AB93" s="239">
        <f>SUM(Y82:Y93)</f>
        <v>0</v>
      </c>
      <c r="AC93" s="512"/>
      <c r="AD93" s="234" t="s">
        <v>236</v>
      </c>
      <c r="AE93" s="235"/>
      <c r="AF93" s="235"/>
      <c r="AG93" s="235"/>
      <c r="AH93" s="236">
        <f t="shared" si="6"/>
        <v>0</v>
      </c>
      <c r="AI93" s="239">
        <f>SUM(AF82:AF93)</f>
        <v>0</v>
      </c>
      <c r="AJ93" s="208">
        <f>AJ81+1</f>
        <v>2028</v>
      </c>
      <c r="AK93" s="240">
        <f>G93+N93+U93+AB93+AI93</f>
        <v>352.78350334192407</v>
      </c>
    </row>
    <row r="94" spans="1:37" x14ac:dyDescent="0.2">
      <c r="A94" s="512">
        <f>A82+1</f>
        <v>2029</v>
      </c>
      <c r="B94" s="234" t="s">
        <v>225</v>
      </c>
      <c r="C94" s="235">
        <f t="shared" si="10"/>
        <v>60.494927835052351</v>
      </c>
      <c r="D94" s="235">
        <f t="shared" si="7"/>
        <v>1.0082487972508727</v>
      </c>
      <c r="E94" s="245">
        <f t="shared" si="16"/>
        <v>0.85204123711341284</v>
      </c>
      <c r="F94" s="236">
        <f t="shared" si="17"/>
        <v>1.8602900343642856</v>
      </c>
      <c r="G94" s="237"/>
      <c r="H94" s="513">
        <f>H82+1</f>
        <v>2029</v>
      </c>
      <c r="I94" s="234" t="s">
        <v>225</v>
      </c>
      <c r="J94" s="235">
        <f t="shared" si="12"/>
        <v>412.13099999999838</v>
      </c>
      <c r="K94" s="235">
        <f t="shared" si="8"/>
        <v>6.8688499999999735</v>
      </c>
      <c r="L94" s="235">
        <f t="shared" si="9"/>
        <v>5.7240416666666665</v>
      </c>
      <c r="M94" s="236">
        <f t="shared" si="18"/>
        <v>12.59289166666664</v>
      </c>
      <c r="N94" s="236"/>
      <c r="O94" s="512">
        <f>O82+1</f>
        <v>2029</v>
      </c>
      <c r="P94" s="234" t="s">
        <v>225</v>
      </c>
      <c r="Q94" s="235">
        <f t="shared" si="15"/>
        <v>1158.8723999999991</v>
      </c>
      <c r="R94" s="235">
        <f t="shared" si="13"/>
        <v>19.314539999999983</v>
      </c>
      <c r="S94" s="235">
        <f t="shared" si="14"/>
        <v>13.796099999999999</v>
      </c>
      <c r="T94" s="236">
        <f t="shared" si="4"/>
        <v>33.110639999999982</v>
      </c>
      <c r="U94" s="236"/>
      <c r="V94" s="512">
        <f>V82+1</f>
        <v>2028</v>
      </c>
      <c r="W94" s="234" t="s">
        <v>225</v>
      </c>
      <c r="X94" s="235"/>
      <c r="Y94" s="235"/>
      <c r="Z94" s="235"/>
      <c r="AA94" s="236">
        <f t="shared" si="5"/>
        <v>0</v>
      </c>
      <c r="AB94" s="236"/>
      <c r="AC94" s="512">
        <f>AC82+1</f>
        <v>2028</v>
      </c>
      <c r="AD94" s="234" t="s">
        <v>225</v>
      </c>
      <c r="AE94" s="235"/>
      <c r="AF94" s="235"/>
      <c r="AG94" s="235"/>
      <c r="AH94" s="236">
        <f t="shared" si="6"/>
        <v>0</v>
      </c>
      <c r="AI94" s="236"/>
      <c r="AK94" s="240"/>
    </row>
    <row r="95" spans="1:37" x14ac:dyDescent="0.2">
      <c r="A95" s="512"/>
      <c r="B95" s="234" t="s">
        <v>226</v>
      </c>
      <c r="C95" s="235">
        <f t="shared" si="10"/>
        <v>59.64288659793894</v>
      </c>
      <c r="D95" s="235">
        <f t="shared" si="7"/>
        <v>0.99404810996564896</v>
      </c>
      <c r="E95" s="245">
        <f t="shared" si="16"/>
        <v>0.85204123711341284</v>
      </c>
      <c r="F95" s="236">
        <f t="shared" si="17"/>
        <v>1.8460893470790618</v>
      </c>
      <c r="G95" s="238"/>
      <c r="H95" s="514"/>
      <c r="I95" s="234" t="s">
        <v>226</v>
      </c>
      <c r="J95" s="235">
        <f t="shared" si="12"/>
        <v>406.40695833333172</v>
      </c>
      <c r="K95" s="235">
        <f t="shared" si="8"/>
        <v>6.7734493055555296</v>
      </c>
      <c r="L95" s="235">
        <f t="shared" si="9"/>
        <v>5.7240416666666665</v>
      </c>
      <c r="M95" s="236">
        <f t="shared" si="18"/>
        <v>12.497490972222195</v>
      </c>
      <c r="N95" s="236"/>
      <c r="O95" s="512"/>
      <c r="P95" s="234" t="s">
        <v>226</v>
      </c>
      <c r="Q95" s="235">
        <f t="shared" si="15"/>
        <v>1145.076299999999</v>
      </c>
      <c r="R95" s="235">
        <f t="shared" si="13"/>
        <v>19.084604999999986</v>
      </c>
      <c r="S95" s="235">
        <f t="shared" si="14"/>
        <v>13.796099999999999</v>
      </c>
      <c r="T95" s="236">
        <f t="shared" si="4"/>
        <v>32.880704999999985</v>
      </c>
      <c r="U95" s="236"/>
      <c r="V95" s="512"/>
      <c r="W95" s="234" t="s">
        <v>226</v>
      </c>
      <c r="X95" s="235"/>
      <c r="Y95" s="235"/>
      <c r="Z95" s="235"/>
      <c r="AA95" s="236">
        <f t="shared" si="5"/>
        <v>0</v>
      </c>
      <c r="AB95" s="236"/>
      <c r="AC95" s="512"/>
      <c r="AD95" s="234" t="s">
        <v>226</v>
      </c>
      <c r="AE95" s="235"/>
      <c r="AF95" s="235"/>
      <c r="AG95" s="235"/>
      <c r="AH95" s="236">
        <f t="shared" si="6"/>
        <v>0</v>
      </c>
      <c r="AI95" s="236"/>
      <c r="AK95" s="240"/>
    </row>
    <row r="96" spans="1:37" x14ac:dyDescent="0.2">
      <c r="A96" s="512"/>
      <c r="B96" s="234" t="s">
        <v>227</v>
      </c>
      <c r="C96" s="235">
        <f t="shared" si="10"/>
        <v>58.790845360825529</v>
      </c>
      <c r="D96" s="235">
        <f t="shared" si="7"/>
        <v>0.97984742268042557</v>
      </c>
      <c r="E96" s="245">
        <f t="shared" si="16"/>
        <v>0.85204123711341284</v>
      </c>
      <c r="F96" s="236">
        <f t="shared" si="17"/>
        <v>1.8318886597938384</v>
      </c>
      <c r="G96" s="238"/>
      <c r="H96" s="514"/>
      <c r="I96" s="234" t="s">
        <v>227</v>
      </c>
      <c r="J96" s="235">
        <f t="shared" si="12"/>
        <v>400.68291666666505</v>
      </c>
      <c r="K96" s="235">
        <f t="shared" si="8"/>
        <v>6.6780486111110848</v>
      </c>
      <c r="L96" s="235">
        <f t="shared" si="9"/>
        <v>5.7240416666666665</v>
      </c>
      <c r="M96" s="236">
        <f t="shared" si="18"/>
        <v>12.402090277777752</v>
      </c>
      <c r="N96" s="236"/>
      <c r="O96" s="512"/>
      <c r="P96" s="234" t="s">
        <v>227</v>
      </c>
      <c r="Q96" s="235">
        <f t="shared" si="15"/>
        <v>1131.280199999999</v>
      </c>
      <c r="R96" s="235">
        <f t="shared" si="13"/>
        <v>18.854669999999984</v>
      </c>
      <c r="S96" s="235">
        <f t="shared" si="14"/>
        <v>13.796099999999999</v>
      </c>
      <c r="T96" s="236">
        <f t="shared" si="4"/>
        <v>32.65076999999998</v>
      </c>
      <c r="U96" s="236"/>
      <c r="V96" s="512"/>
      <c r="W96" s="234" t="s">
        <v>227</v>
      </c>
      <c r="X96" s="235"/>
      <c r="Y96" s="235"/>
      <c r="Z96" s="235"/>
      <c r="AA96" s="236">
        <f t="shared" si="5"/>
        <v>0</v>
      </c>
      <c r="AB96" s="236"/>
      <c r="AC96" s="512"/>
      <c r="AD96" s="234" t="s">
        <v>227</v>
      </c>
      <c r="AE96" s="235"/>
      <c r="AF96" s="235"/>
      <c r="AG96" s="235"/>
      <c r="AH96" s="236">
        <f t="shared" si="6"/>
        <v>0</v>
      </c>
      <c r="AI96" s="236"/>
      <c r="AK96" s="240"/>
    </row>
    <row r="97" spans="1:37" x14ac:dyDescent="0.2">
      <c r="A97" s="512"/>
      <c r="B97" s="234" t="s">
        <v>228</v>
      </c>
      <c r="C97" s="235">
        <f t="shared" si="10"/>
        <v>57.938804123712117</v>
      </c>
      <c r="D97" s="235">
        <f t="shared" si="7"/>
        <v>0.96564673539520207</v>
      </c>
      <c r="E97" s="245">
        <f t="shared" si="16"/>
        <v>0.85204123711341284</v>
      </c>
      <c r="F97" s="236">
        <f t="shared" si="17"/>
        <v>1.8176879725086148</v>
      </c>
      <c r="G97" s="238"/>
      <c r="H97" s="514"/>
      <c r="I97" s="234" t="s">
        <v>228</v>
      </c>
      <c r="J97" s="235">
        <f t="shared" si="12"/>
        <v>394.95887499999839</v>
      </c>
      <c r="K97" s="235">
        <f t="shared" si="8"/>
        <v>6.5826479166666401</v>
      </c>
      <c r="L97" s="235">
        <f t="shared" si="9"/>
        <v>5.7240416666666665</v>
      </c>
      <c r="M97" s="236">
        <f t="shared" si="18"/>
        <v>12.306689583333306</v>
      </c>
      <c r="N97" s="236"/>
      <c r="O97" s="512"/>
      <c r="P97" s="234" t="s">
        <v>228</v>
      </c>
      <c r="Q97" s="235">
        <f t="shared" si="15"/>
        <v>1117.484099999999</v>
      </c>
      <c r="R97" s="235">
        <f t="shared" si="13"/>
        <v>18.624734999999983</v>
      </c>
      <c r="S97" s="235">
        <f t="shared" si="14"/>
        <v>13.796099999999999</v>
      </c>
      <c r="T97" s="236">
        <f t="shared" si="4"/>
        <v>32.420834999999983</v>
      </c>
      <c r="U97" s="236"/>
      <c r="V97" s="512"/>
      <c r="W97" s="234" t="s">
        <v>228</v>
      </c>
      <c r="X97" s="235"/>
      <c r="Y97" s="235"/>
      <c r="Z97" s="235"/>
      <c r="AA97" s="236">
        <f t="shared" si="5"/>
        <v>0</v>
      </c>
      <c r="AB97" s="236"/>
      <c r="AC97" s="512"/>
      <c r="AD97" s="234" t="s">
        <v>228</v>
      </c>
      <c r="AE97" s="235"/>
      <c r="AF97" s="235"/>
      <c r="AG97" s="235"/>
      <c r="AH97" s="236">
        <f t="shared" si="6"/>
        <v>0</v>
      </c>
      <c r="AI97" s="236"/>
      <c r="AK97" s="240"/>
    </row>
    <row r="98" spans="1:37" x14ac:dyDescent="0.2">
      <c r="A98" s="512"/>
      <c r="B98" s="234" t="s">
        <v>229</v>
      </c>
      <c r="C98" s="235">
        <f t="shared" si="10"/>
        <v>57.086762886598706</v>
      </c>
      <c r="D98" s="235">
        <f t="shared" si="7"/>
        <v>0.95144604810997846</v>
      </c>
      <c r="E98" s="245">
        <f t="shared" si="16"/>
        <v>0.85204123711341284</v>
      </c>
      <c r="F98" s="236">
        <f t="shared" si="17"/>
        <v>1.8034872852233912</v>
      </c>
      <c r="G98" s="238"/>
      <c r="H98" s="514"/>
      <c r="I98" s="234" t="s">
        <v>229</v>
      </c>
      <c r="J98" s="235">
        <f t="shared" si="12"/>
        <v>389.23483333333172</v>
      </c>
      <c r="K98" s="235">
        <f t="shared" si="8"/>
        <v>6.4872472222221953</v>
      </c>
      <c r="L98" s="235">
        <f t="shared" si="9"/>
        <v>5.7240416666666665</v>
      </c>
      <c r="M98" s="236">
        <f t="shared" si="18"/>
        <v>12.211288888888863</v>
      </c>
      <c r="N98" s="236"/>
      <c r="O98" s="512"/>
      <c r="P98" s="234" t="s">
        <v>229</v>
      </c>
      <c r="Q98" s="235">
        <f t="shared" si="15"/>
        <v>1103.687999999999</v>
      </c>
      <c r="R98" s="235">
        <f t="shared" si="13"/>
        <v>18.394799999999986</v>
      </c>
      <c r="S98" s="235">
        <f t="shared" si="14"/>
        <v>13.796099999999999</v>
      </c>
      <c r="T98" s="236">
        <f t="shared" si="4"/>
        <v>32.190899999999985</v>
      </c>
      <c r="U98" s="236"/>
      <c r="V98" s="512"/>
      <c r="W98" s="234" t="s">
        <v>229</v>
      </c>
      <c r="X98" s="235"/>
      <c r="Y98" s="235"/>
      <c r="Z98" s="235"/>
      <c r="AA98" s="236">
        <f t="shared" si="5"/>
        <v>0</v>
      </c>
      <c r="AB98" s="236"/>
      <c r="AC98" s="512"/>
      <c r="AD98" s="234" t="s">
        <v>229</v>
      </c>
      <c r="AE98" s="235"/>
      <c r="AF98" s="235"/>
      <c r="AG98" s="235"/>
      <c r="AH98" s="236">
        <f t="shared" si="6"/>
        <v>0</v>
      </c>
      <c r="AI98" s="236"/>
      <c r="AK98" s="240"/>
    </row>
    <row r="99" spans="1:37" x14ac:dyDescent="0.2">
      <c r="A99" s="512"/>
      <c r="B99" s="234" t="s">
        <v>230</v>
      </c>
      <c r="C99" s="235">
        <f t="shared" si="10"/>
        <v>56.234721649485294</v>
      </c>
      <c r="D99" s="235">
        <f t="shared" si="7"/>
        <v>0.93724536082475496</v>
      </c>
      <c r="E99" s="245">
        <f t="shared" si="16"/>
        <v>0.85204123711341284</v>
      </c>
      <c r="F99" s="236">
        <f t="shared" si="17"/>
        <v>1.7892865979381678</v>
      </c>
      <c r="G99" s="238"/>
      <c r="H99" s="514"/>
      <c r="I99" s="234" t="s">
        <v>230</v>
      </c>
      <c r="J99" s="235">
        <f t="shared" si="12"/>
        <v>383.51079166666506</v>
      </c>
      <c r="K99" s="235">
        <f t="shared" si="8"/>
        <v>6.3918465277777514</v>
      </c>
      <c r="L99" s="235">
        <f t="shared" si="9"/>
        <v>5.7240416666666665</v>
      </c>
      <c r="M99" s="236">
        <f t="shared" si="18"/>
        <v>12.115888194444418</v>
      </c>
      <c r="N99" s="236"/>
      <c r="O99" s="512"/>
      <c r="P99" s="234" t="s">
        <v>230</v>
      </c>
      <c r="Q99" s="235">
        <f t="shared" si="15"/>
        <v>1089.8918999999989</v>
      </c>
      <c r="R99" s="235">
        <f t="shared" si="13"/>
        <v>18.164864999999981</v>
      </c>
      <c r="S99" s="235">
        <f t="shared" si="14"/>
        <v>13.796099999999999</v>
      </c>
      <c r="T99" s="236">
        <f t="shared" si="4"/>
        <v>31.96096499999998</v>
      </c>
      <c r="U99" s="236"/>
      <c r="V99" s="512"/>
      <c r="W99" s="234" t="s">
        <v>230</v>
      </c>
      <c r="X99" s="235"/>
      <c r="Y99" s="235"/>
      <c r="Z99" s="235"/>
      <c r="AA99" s="236">
        <f t="shared" si="5"/>
        <v>0</v>
      </c>
      <c r="AB99" s="236"/>
      <c r="AC99" s="512"/>
      <c r="AD99" s="234" t="s">
        <v>230</v>
      </c>
      <c r="AE99" s="235"/>
      <c r="AF99" s="235"/>
      <c r="AG99" s="235"/>
      <c r="AH99" s="236">
        <f t="shared" si="6"/>
        <v>0</v>
      </c>
      <c r="AI99" s="236"/>
      <c r="AK99" s="240"/>
    </row>
    <row r="100" spans="1:37" x14ac:dyDescent="0.2">
      <c r="A100" s="512"/>
      <c r="B100" s="234" t="s">
        <v>231</v>
      </c>
      <c r="C100" s="235">
        <f t="shared" si="10"/>
        <v>55.382680412371883</v>
      </c>
      <c r="D100" s="235">
        <f t="shared" si="7"/>
        <v>0.92304467353953135</v>
      </c>
      <c r="E100" s="245">
        <f t="shared" si="16"/>
        <v>0.85204123711341284</v>
      </c>
      <c r="F100" s="236">
        <f t="shared" si="17"/>
        <v>1.7750859106529442</v>
      </c>
      <c r="G100" s="238"/>
      <c r="H100" s="514"/>
      <c r="I100" s="234" t="s">
        <v>231</v>
      </c>
      <c r="J100" s="235">
        <f t="shared" si="12"/>
        <v>377.78674999999839</v>
      </c>
      <c r="K100" s="235">
        <f t="shared" si="8"/>
        <v>6.2964458333333075</v>
      </c>
      <c r="L100" s="235">
        <f t="shared" si="9"/>
        <v>5.7240416666666665</v>
      </c>
      <c r="M100" s="236">
        <f t="shared" si="18"/>
        <v>12.020487499999973</v>
      </c>
      <c r="N100" s="236"/>
      <c r="O100" s="512"/>
      <c r="P100" s="234" t="s">
        <v>231</v>
      </c>
      <c r="Q100" s="235">
        <f t="shared" si="15"/>
        <v>1076.0957999999989</v>
      </c>
      <c r="R100" s="235">
        <f t="shared" si="13"/>
        <v>17.934929999999984</v>
      </c>
      <c r="S100" s="235">
        <f t="shared" si="14"/>
        <v>13.796099999999999</v>
      </c>
      <c r="T100" s="236">
        <f t="shared" ref="T100:T163" si="19">R100+S100</f>
        <v>31.731029999999983</v>
      </c>
      <c r="U100" s="236"/>
      <c r="V100" s="512"/>
      <c r="W100" s="234" t="s">
        <v>231</v>
      </c>
      <c r="X100" s="235"/>
      <c r="Y100" s="235"/>
      <c r="Z100" s="235"/>
      <c r="AA100" s="236">
        <f t="shared" ref="AA100:AA163" si="20">Y100+Z100</f>
        <v>0</v>
      </c>
      <c r="AB100" s="236"/>
      <c r="AC100" s="512"/>
      <c r="AD100" s="234" t="s">
        <v>231</v>
      </c>
      <c r="AE100" s="235"/>
      <c r="AF100" s="235"/>
      <c r="AG100" s="235"/>
      <c r="AH100" s="236">
        <f t="shared" ref="AH100:AH163" si="21">AF100+AG100</f>
        <v>0</v>
      </c>
      <c r="AI100" s="236"/>
      <c r="AK100" s="240"/>
    </row>
    <row r="101" spans="1:37" x14ac:dyDescent="0.2">
      <c r="A101" s="512"/>
      <c r="B101" s="234" t="s">
        <v>232</v>
      </c>
      <c r="C101" s="235">
        <f t="shared" si="10"/>
        <v>54.530639175258472</v>
      </c>
      <c r="D101" s="235">
        <f t="shared" si="7"/>
        <v>0.90884398625430796</v>
      </c>
      <c r="E101" s="245">
        <f t="shared" si="16"/>
        <v>0.85204123711341284</v>
      </c>
      <c r="F101" s="236">
        <f t="shared" si="17"/>
        <v>1.7608852233677208</v>
      </c>
      <c r="G101" s="238"/>
      <c r="H101" s="514"/>
      <c r="I101" s="234" t="s">
        <v>232</v>
      </c>
      <c r="J101" s="235">
        <f t="shared" si="12"/>
        <v>372.06270833333173</v>
      </c>
      <c r="K101" s="235">
        <f t="shared" si="8"/>
        <v>6.2010451388888619</v>
      </c>
      <c r="L101" s="235">
        <f t="shared" si="9"/>
        <v>5.7240416666666665</v>
      </c>
      <c r="M101" s="236">
        <f t="shared" si="18"/>
        <v>11.925086805555528</v>
      </c>
      <c r="N101" s="236"/>
      <c r="O101" s="512"/>
      <c r="P101" s="234" t="s">
        <v>232</v>
      </c>
      <c r="Q101" s="235">
        <f t="shared" si="15"/>
        <v>1062.2996999999989</v>
      </c>
      <c r="R101" s="235">
        <f t="shared" si="13"/>
        <v>17.704994999999982</v>
      </c>
      <c r="S101" s="235">
        <f t="shared" si="14"/>
        <v>13.796099999999999</v>
      </c>
      <c r="T101" s="236">
        <f t="shared" si="19"/>
        <v>31.501094999999982</v>
      </c>
      <c r="U101" s="236"/>
      <c r="V101" s="512"/>
      <c r="W101" s="234" t="s">
        <v>232</v>
      </c>
      <c r="X101" s="235"/>
      <c r="Y101" s="235"/>
      <c r="Z101" s="235"/>
      <c r="AA101" s="236">
        <f t="shared" si="20"/>
        <v>0</v>
      </c>
      <c r="AB101" s="236"/>
      <c r="AC101" s="512"/>
      <c r="AD101" s="234" t="s">
        <v>232</v>
      </c>
      <c r="AE101" s="235"/>
      <c r="AF101" s="235"/>
      <c r="AG101" s="235"/>
      <c r="AH101" s="236">
        <f t="shared" si="21"/>
        <v>0</v>
      </c>
      <c r="AI101" s="236"/>
      <c r="AK101" s="240"/>
    </row>
    <row r="102" spans="1:37" x14ac:dyDescent="0.2">
      <c r="A102" s="512"/>
      <c r="B102" s="234" t="s">
        <v>233</v>
      </c>
      <c r="C102" s="235">
        <f t="shared" si="10"/>
        <v>53.67859793814506</v>
      </c>
      <c r="D102" s="235">
        <f t="shared" si="7"/>
        <v>0.89464329896908446</v>
      </c>
      <c r="E102" s="245">
        <f t="shared" si="16"/>
        <v>0.85204123711341284</v>
      </c>
      <c r="F102" s="236">
        <f t="shared" si="17"/>
        <v>1.7466845360824972</v>
      </c>
      <c r="G102" s="238"/>
      <c r="H102" s="514"/>
      <c r="I102" s="234" t="s">
        <v>233</v>
      </c>
      <c r="J102" s="235">
        <f t="shared" si="12"/>
        <v>366.33866666666506</v>
      </c>
      <c r="K102" s="235">
        <f t="shared" si="8"/>
        <v>6.105644444444418</v>
      </c>
      <c r="L102" s="235">
        <f t="shared" si="9"/>
        <v>5.7240416666666665</v>
      </c>
      <c r="M102" s="236">
        <f t="shared" si="18"/>
        <v>11.829686111111084</v>
      </c>
      <c r="N102" s="236"/>
      <c r="O102" s="512"/>
      <c r="P102" s="234" t="s">
        <v>233</v>
      </c>
      <c r="Q102" s="235">
        <f t="shared" si="15"/>
        <v>1048.5035999999989</v>
      </c>
      <c r="R102" s="235">
        <f t="shared" si="13"/>
        <v>17.475059999999981</v>
      </c>
      <c r="S102" s="235">
        <f t="shared" si="14"/>
        <v>13.796099999999999</v>
      </c>
      <c r="T102" s="236">
        <f t="shared" si="19"/>
        <v>31.271159999999981</v>
      </c>
      <c r="U102" s="236"/>
      <c r="V102" s="512"/>
      <c r="W102" s="234" t="s">
        <v>233</v>
      </c>
      <c r="X102" s="235"/>
      <c r="Y102" s="235"/>
      <c r="Z102" s="235"/>
      <c r="AA102" s="236">
        <f t="shared" si="20"/>
        <v>0</v>
      </c>
      <c r="AB102" s="236"/>
      <c r="AC102" s="512"/>
      <c r="AD102" s="234" t="s">
        <v>233</v>
      </c>
      <c r="AE102" s="235"/>
      <c r="AF102" s="235"/>
      <c r="AG102" s="235"/>
      <c r="AH102" s="236">
        <f t="shared" si="21"/>
        <v>0</v>
      </c>
      <c r="AI102" s="236"/>
      <c r="AK102" s="240"/>
    </row>
    <row r="103" spans="1:37" x14ac:dyDescent="0.2">
      <c r="A103" s="512"/>
      <c r="B103" s="234" t="s">
        <v>234</v>
      </c>
      <c r="C103" s="235">
        <f t="shared" si="10"/>
        <v>52.826556701031649</v>
      </c>
      <c r="D103" s="235">
        <f t="shared" si="7"/>
        <v>0.88044261168386084</v>
      </c>
      <c r="E103" s="245">
        <f t="shared" si="16"/>
        <v>0.85204123711341284</v>
      </c>
      <c r="F103" s="236">
        <f t="shared" si="17"/>
        <v>1.7324838487972736</v>
      </c>
      <c r="G103" s="238"/>
      <c r="H103" s="514"/>
      <c r="I103" s="234" t="s">
        <v>234</v>
      </c>
      <c r="J103" s="235">
        <f t="shared" si="12"/>
        <v>360.6146249999984</v>
      </c>
      <c r="K103" s="235">
        <f t="shared" si="8"/>
        <v>6.0102437499999732</v>
      </c>
      <c r="L103" s="235">
        <f t="shared" si="9"/>
        <v>5.7240416666666665</v>
      </c>
      <c r="M103" s="236">
        <f t="shared" si="18"/>
        <v>11.734285416666641</v>
      </c>
      <c r="N103" s="236"/>
      <c r="O103" s="512"/>
      <c r="P103" s="234" t="s">
        <v>234</v>
      </c>
      <c r="Q103" s="235">
        <f t="shared" si="15"/>
        <v>1034.7074999999988</v>
      </c>
      <c r="R103" s="235">
        <f t="shared" si="13"/>
        <v>17.245124999999984</v>
      </c>
      <c r="S103" s="235">
        <f t="shared" si="14"/>
        <v>13.796099999999999</v>
      </c>
      <c r="T103" s="236">
        <f t="shared" si="19"/>
        <v>31.041224999999983</v>
      </c>
      <c r="U103" s="236"/>
      <c r="V103" s="512"/>
      <c r="W103" s="234" t="s">
        <v>234</v>
      </c>
      <c r="X103" s="235"/>
      <c r="Y103" s="235"/>
      <c r="Z103" s="235"/>
      <c r="AA103" s="236">
        <f t="shared" si="20"/>
        <v>0</v>
      </c>
      <c r="AB103" s="236"/>
      <c r="AC103" s="512"/>
      <c r="AD103" s="234" t="s">
        <v>234</v>
      </c>
      <c r="AE103" s="235"/>
      <c r="AF103" s="235"/>
      <c r="AG103" s="235"/>
      <c r="AH103" s="236">
        <f t="shared" si="21"/>
        <v>0</v>
      </c>
      <c r="AI103" s="236"/>
      <c r="AK103" s="240"/>
    </row>
    <row r="104" spans="1:37" x14ac:dyDescent="0.2">
      <c r="A104" s="512"/>
      <c r="B104" s="234" t="s">
        <v>235</v>
      </c>
      <c r="C104" s="235">
        <f t="shared" si="10"/>
        <v>51.974515463918237</v>
      </c>
      <c r="D104" s="235">
        <f t="shared" si="7"/>
        <v>0.86624192439863734</v>
      </c>
      <c r="E104" s="245">
        <f t="shared" si="16"/>
        <v>0.85204123711341284</v>
      </c>
      <c r="F104" s="236">
        <f t="shared" si="17"/>
        <v>1.7182831615120502</v>
      </c>
      <c r="G104" s="238"/>
      <c r="H104" s="514"/>
      <c r="I104" s="234" t="s">
        <v>235</v>
      </c>
      <c r="J104" s="235">
        <f t="shared" si="12"/>
        <v>354.89058333333173</v>
      </c>
      <c r="K104" s="235">
        <f t="shared" si="8"/>
        <v>5.9148430555555294</v>
      </c>
      <c r="L104" s="235">
        <f t="shared" si="9"/>
        <v>5.7240416666666665</v>
      </c>
      <c r="M104" s="236">
        <f t="shared" si="18"/>
        <v>11.638884722222196</v>
      </c>
      <c r="N104" s="236"/>
      <c r="O104" s="512"/>
      <c r="P104" s="234" t="s">
        <v>235</v>
      </c>
      <c r="Q104" s="235">
        <f t="shared" si="15"/>
        <v>1020.9113999999988</v>
      </c>
      <c r="R104" s="235">
        <f t="shared" si="13"/>
        <v>17.015189999999979</v>
      </c>
      <c r="S104" s="235">
        <f t="shared" si="14"/>
        <v>13.796099999999999</v>
      </c>
      <c r="T104" s="236">
        <f t="shared" si="19"/>
        <v>30.811289999999978</v>
      </c>
      <c r="U104" s="236"/>
      <c r="V104" s="512"/>
      <c r="W104" s="234" t="s">
        <v>235</v>
      </c>
      <c r="X104" s="235"/>
      <c r="Y104" s="235"/>
      <c r="Z104" s="235"/>
      <c r="AA104" s="236">
        <f t="shared" si="20"/>
        <v>0</v>
      </c>
      <c r="AB104" s="236"/>
      <c r="AC104" s="512"/>
      <c r="AD104" s="234" t="s">
        <v>235</v>
      </c>
      <c r="AE104" s="235"/>
      <c r="AF104" s="235"/>
      <c r="AG104" s="235"/>
      <c r="AH104" s="236">
        <f t="shared" si="21"/>
        <v>0</v>
      </c>
      <c r="AI104" s="236"/>
      <c r="AK104" s="240"/>
    </row>
    <row r="105" spans="1:37" x14ac:dyDescent="0.2">
      <c r="A105" s="512"/>
      <c r="B105" s="234" t="s">
        <v>236</v>
      </c>
      <c r="C105" s="235">
        <f t="shared" si="10"/>
        <v>51.122474226804826</v>
      </c>
      <c r="D105" s="235">
        <f t="shared" si="7"/>
        <v>0.85204123711341373</v>
      </c>
      <c r="E105" s="245">
        <f>$C$68/($D$8-23)</f>
        <v>0.85204123711341284</v>
      </c>
      <c r="F105" s="236">
        <f t="shared" si="17"/>
        <v>1.7040824742268266</v>
      </c>
      <c r="G105" s="239">
        <f>SUM(D94:D105)</f>
        <v>11.161740206185719</v>
      </c>
      <c r="H105" s="515"/>
      <c r="I105" s="234" t="s">
        <v>236</v>
      </c>
      <c r="J105" s="235">
        <f t="shared" si="12"/>
        <v>349.16654166666507</v>
      </c>
      <c r="K105" s="235">
        <f t="shared" si="8"/>
        <v>5.8194423611110855</v>
      </c>
      <c r="L105" s="235">
        <f t="shared" si="9"/>
        <v>5.7240416666666665</v>
      </c>
      <c r="M105" s="236">
        <f t="shared" si="18"/>
        <v>11.543484027777751</v>
      </c>
      <c r="N105" s="239">
        <f>SUM(K94:K105)</f>
        <v>76.129754166666359</v>
      </c>
      <c r="O105" s="512"/>
      <c r="P105" s="234" t="s">
        <v>236</v>
      </c>
      <c r="Q105" s="235">
        <f t="shared" si="15"/>
        <v>1007.1152999999988</v>
      </c>
      <c r="R105" s="235">
        <f t="shared" si="13"/>
        <v>16.785254999999982</v>
      </c>
      <c r="S105" s="235">
        <f t="shared" si="14"/>
        <v>13.796099999999999</v>
      </c>
      <c r="T105" s="236">
        <f t="shared" si="19"/>
        <v>30.581354999999981</v>
      </c>
      <c r="U105" s="239">
        <f>SUM(R94:R105)</f>
        <v>216.59876999999977</v>
      </c>
      <c r="V105" s="512"/>
      <c r="W105" s="234" t="s">
        <v>236</v>
      </c>
      <c r="X105" s="235"/>
      <c r="Y105" s="235"/>
      <c r="Z105" s="235"/>
      <c r="AA105" s="236">
        <f t="shared" si="20"/>
        <v>0</v>
      </c>
      <c r="AB105" s="239">
        <f>SUM(Y94:Y105)</f>
        <v>0</v>
      </c>
      <c r="AC105" s="512"/>
      <c r="AD105" s="234" t="s">
        <v>236</v>
      </c>
      <c r="AE105" s="235"/>
      <c r="AF105" s="235"/>
      <c r="AG105" s="235"/>
      <c r="AH105" s="236">
        <f t="shared" si="21"/>
        <v>0</v>
      </c>
      <c r="AI105" s="239">
        <f>SUM(AF94:AF105)</f>
        <v>0</v>
      </c>
      <c r="AJ105" s="208">
        <f>AJ93+1</f>
        <v>2029</v>
      </c>
      <c r="AK105" s="240">
        <f>G105+N105+U105+AB105+AI105</f>
        <v>303.89026437285185</v>
      </c>
    </row>
    <row r="106" spans="1:37" x14ac:dyDescent="0.2">
      <c r="A106" s="513">
        <f>A94+1</f>
        <v>2030</v>
      </c>
      <c r="B106" s="234" t="s">
        <v>225</v>
      </c>
      <c r="C106" s="235">
        <f t="shared" si="10"/>
        <v>50.270432989691415</v>
      </c>
      <c r="D106" s="235">
        <f t="shared" si="7"/>
        <v>0.83784054982819034</v>
      </c>
      <c r="E106" s="245">
        <f t="shared" si="16"/>
        <v>0.85204123711341284</v>
      </c>
      <c r="F106" s="236">
        <f t="shared" si="17"/>
        <v>1.6898817869416032</v>
      </c>
      <c r="G106" s="237"/>
      <c r="H106" s="513">
        <f>H94+1</f>
        <v>2030</v>
      </c>
      <c r="I106" s="234" t="s">
        <v>225</v>
      </c>
      <c r="J106" s="235">
        <f t="shared" si="12"/>
        <v>343.4424999999984</v>
      </c>
      <c r="K106" s="235">
        <f t="shared" si="8"/>
        <v>5.7240416666666398</v>
      </c>
      <c r="L106" s="235">
        <f t="shared" si="9"/>
        <v>5.7240416666666665</v>
      </c>
      <c r="M106" s="236">
        <f t="shared" si="18"/>
        <v>11.448083333333306</v>
      </c>
      <c r="N106" s="237"/>
      <c r="O106" s="513">
        <f>O94+1</f>
        <v>2030</v>
      </c>
      <c r="P106" s="234" t="s">
        <v>225</v>
      </c>
      <c r="Q106" s="235">
        <f t="shared" si="15"/>
        <v>993.31919999999877</v>
      </c>
      <c r="R106" s="235">
        <f t="shared" si="13"/>
        <v>16.55531999999998</v>
      </c>
      <c r="S106" s="235">
        <f t="shared" si="14"/>
        <v>13.796099999999999</v>
      </c>
      <c r="T106" s="236">
        <f t="shared" si="19"/>
        <v>30.35141999999998</v>
      </c>
      <c r="U106" s="237"/>
      <c r="V106" s="513">
        <f>V94+1</f>
        <v>2029</v>
      </c>
      <c r="W106" s="234" t="s">
        <v>225</v>
      </c>
      <c r="X106" s="235"/>
      <c r="Y106" s="235"/>
      <c r="Z106" s="235"/>
      <c r="AA106" s="236">
        <f t="shared" si="20"/>
        <v>0</v>
      </c>
      <c r="AB106" s="237"/>
      <c r="AC106" s="513">
        <f>AC94+1</f>
        <v>2029</v>
      </c>
      <c r="AD106" s="234" t="s">
        <v>225</v>
      </c>
      <c r="AE106" s="235"/>
      <c r="AF106" s="235"/>
      <c r="AG106" s="235"/>
      <c r="AH106" s="236">
        <f t="shared" si="21"/>
        <v>0</v>
      </c>
      <c r="AI106" s="237"/>
      <c r="AK106" s="240"/>
    </row>
    <row r="107" spans="1:37" x14ac:dyDescent="0.2">
      <c r="A107" s="514"/>
      <c r="B107" s="234" t="s">
        <v>226</v>
      </c>
      <c r="C107" s="235">
        <f t="shared" si="10"/>
        <v>49.418391752578003</v>
      </c>
      <c r="D107" s="235">
        <f t="shared" si="7"/>
        <v>0.82363986254296684</v>
      </c>
      <c r="E107" s="245">
        <f t="shared" si="16"/>
        <v>0.85204123711341284</v>
      </c>
      <c r="F107" s="236">
        <f t="shared" si="17"/>
        <v>1.6756810996563796</v>
      </c>
      <c r="G107" s="238"/>
      <c r="H107" s="514"/>
      <c r="I107" s="234" t="s">
        <v>226</v>
      </c>
      <c r="J107" s="235">
        <f t="shared" si="12"/>
        <v>337.71845833333174</v>
      </c>
      <c r="K107" s="235">
        <f t="shared" si="8"/>
        <v>5.6286409722221959</v>
      </c>
      <c r="L107" s="235">
        <f t="shared" si="9"/>
        <v>5.7240416666666665</v>
      </c>
      <c r="M107" s="236">
        <f t="shared" si="18"/>
        <v>11.352682638888862</v>
      </c>
      <c r="N107" s="238"/>
      <c r="O107" s="514"/>
      <c r="P107" s="234" t="s">
        <v>226</v>
      </c>
      <c r="Q107" s="235">
        <f t="shared" si="15"/>
        <v>979.52309999999875</v>
      </c>
      <c r="R107" s="235">
        <f t="shared" si="13"/>
        <v>16.325384999999979</v>
      </c>
      <c r="S107" s="235">
        <f t="shared" si="14"/>
        <v>13.796099999999999</v>
      </c>
      <c r="T107" s="236">
        <f t="shared" si="19"/>
        <v>30.121484999999979</v>
      </c>
      <c r="U107" s="238"/>
      <c r="V107" s="514"/>
      <c r="W107" s="234" t="s">
        <v>226</v>
      </c>
      <c r="X107" s="235"/>
      <c r="Y107" s="235"/>
      <c r="Z107" s="235"/>
      <c r="AA107" s="236">
        <f t="shared" si="20"/>
        <v>0</v>
      </c>
      <c r="AB107" s="238"/>
      <c r="AC107" s="514"/>
      <c r="AD107" s="234" t="s">
        <v>226</v>
      </c>
      <c r="AE107" s="235"/>
      <c r="AF107" s="235"/>
      <c r="AG107" s="235"/>
      <c r="AH107" s="236">
        <f t="shared" si="21"/>
        <v>0</v>
      </c>
      <c r="AI107" s="238"/>
      <c r="AK107" s="240"/>
    </row>
    <row r="108" spans="1:37" x14ac:dyDescent="0.2">
      <c r="A108" s="514"/>
      <c r="B108" s="234" t="s">
        <v>227</v>
      </c>
      <c r="C108" s="235">
        <f t="shared" si="10"/>
        <v>48.566350515464592</v>
      </c>
      <c r="D108" s="235">
        <f t="shared" si="7"/>
        <v>0.80943917525774323</v>
      </c>
      <c r="E108" s="245">
        <f t="shared" si="16"/>
        <v>0.85204123711341284</v>
      </c>
      <c r="F108" s="236">
        <f t="shared" si="17"/>
        <v>1.661480412371156</v>
      </c>
      <c r="G108" s="238"/>
      <c r="H108" s="514"/>
      <c r="I108" s="234" t="s">
        <v>227</v>
      </c>
      <c r="J108" s="235">
        <f t="shared" si="12"/>
        <v>331.99441666666507</v>
      </c>
      <c r="K108" s="235">
        <f t="shared" si="8"/>
        <v>5.5332402777777512</v>
      </c>
      <c r="L108" s="235">
        <f t="shared" si="9"/>
        <v>5.7240416666666665</v>
      </c>
      <c r="M108" s="236">
        <f t="shared" si="18"/>
        <v>11.257281944444419</v>
      </c>
      <c r="N108" s="238"/>
      <c r="O108" s="514"/>
      <c r="P108" s="234" t="s">
        <v>227</v>
      </c>
      <c r="Q108" s="235">
        <f t="shared" si="15"/>
        <v>965.72699999999872</v>
      </c>
      <c r="R108" s="235">
        <f t="shared" si="13"/>
        <v>16.095449999999982</v>
      </c>
      <c r="S108" s="235">
        <f t="shared" si="14"/>
        <v>13.796099999999999</v>
      </c>
      <c r="T108" s="236">
        <f t="shared" si="19"/>
        <v>29.891549999999981</v>
      </c>
      <c r="U108" s="238"/>
      <c r="V108" s="514"/>
      <c r="W108" s="234" t="s">
        <v>227</v>
      </c>
      <c r="X108" s="235"/>
      <c r="Y108" s="235"/>
      <c r="Z108" s="235"/>
      <c r="AA108" s="236">
        <f t="shared" si="20"/>
        <v>0</v>
      </c>
      <c r="AB108" s="238"/>
      <c r="AC108" s="514"/>
      <c r="AD108" s="234" t="s">
        <v>227</v>
      </c>
      <c r="AE108" s="235"/>
      <c r="AF108" s="235"/>
      <c r="AG108" s="235"/>
      <c r="AH108" s="236">
        <f t="shared" si="21"/>
        <v>0</v>
      </c>
      <c r="AI108" s="238"/>
      <c r="AK108" s="240"/>
    </row>
    <row r="109" spans="1:37" x14ac:dyDescent="0.2">
      <c r="A109" s="514"/>
      <c r="B109" s="234" t="s">
        <v>228</v>
      </c>
      <c r="C109" s="235">
        <f t="shared" si="10"/>
        <v>47.71430927835118</v>
      </c>
      <c r="D109" s="235">
        <f t="shared" si="7"/>
        <v>0.79523848797251973</v>
      </c>
      <c r="E109" s="245">
        <f t="shared" si="16"/>
        <v>0.85204123711341284</v>
      </c>
      <c r="F109" s="236">
        <f t="shared" si="17"/>
        <v>1.6472797250859326</v>
      </c>
      <c r="G109" s="238"/>
      <c r="H109" s="514"/>
      <c r="I109" s="234" t="s">
        <v>228</v>
      </c>
      <c r="J109" s="235">
        <f t="shared" si="12"/>
        <v>326.27037499999841</v>
      </c>
      <c r="K109" s="235">
        <f t="shared" si="8"/>
        <v>5.4378395833333073</v>
      </c>
      <c r="L109" s="235">
        <f t="shared" si="9"/>
        <v>5.7240416666666665</v>
      </c>
      <c r="M109" s="236">
        <f t="shared" si="18"/>
        <v>11.161881249999974</v>
      </c>
      <c r="N109" s="238"/>
      <c r="O109" s="514"/>
      <c r="P109" s="234" t="s">
        <v>228</v>
      </c>
      <c r="Q109" s="235">
        <f t="shared" si="15"/>
        <v>951.9308999999987</v>
      </c>
      <c r="R109" s="235">
        <f t="shared" si="13"/>
        <v>15.865514999999979</v>
      </c>
      <c r="S109" s="235">
        <f t="shared" si="14"/>
        <v>13.796099999999999</v>
      </c>
      <c r="T109" s="236">
        <f t="shared" si="19"/>
        <v>29.661614999999976</v>
      </c>
      <c r="U109" s="238"/>
      <c r="V109" s="514"/>
      <c r="W109" s="234" t="s">
        <v>228</v>
      </c>
      <c r="X109" s="235"/>
      <c r="Y109" s="235"/>
      <c r="Z109" s="235"/>
      <c r="AA109" s="236">
        <f t="shared" si="20"/>
        <v>0</v>
      </c>
      <c r="AB109" s="238"/>
      <c r="AC109" s="514"/>
      <c r="AD109" s="234" t="s">
        <v>228</v>
      </c>
      <c r="AE109" s="235"/>
      <c r="AF109" s="235"/>
      <c r="AG109" s="235"/>
      <c r="AH109" s="236">
        <f t="shared" si="21"/>
        <v>0</v>
      </c>
      <c r="AI109" s="238"/>
      <c r="AK109" s="240"/>
    </row>
    <row r="110" spans="1:37" x14ac:dyDescent="0.2">
      <c r="A110" s="514"/>
      <c r="B110" s="234" t="s">
        <v>229</v>
      </c>
      <c r="C110" s="235">
        <f t="shared" si="10"/>
        <v>46.862268041237769</v>
      </c>
      <c r="D110" s="235">
        <f t="shared" ref="D110:D164" si="22">C110*$D$7/12</f>
        <v>0.78103780068729611</v>
      </c>
      <c r="E110" s="245">
        <f t="shared" si="16"/>
        <v>0.85204123711341284</v>
      </c>
      <c r="F110" s="236">
        <f t="shared" si="17"/>
        <v>1.633079037800709</v>
      </c>
      <c r="G110" s="238"/>
      <c r="H110" s="514"/>
      <c r="I110" s="234" t="s">
        <v>229</v>
      </c>
      <c r="J110" s="235">
        <f t="shared" si="12"/>
        <v>320.54633333333175</v>
      </c>
      <c r="K110" s="235">
        <f t="shared" ref="K110:K165" si="23">J110*$D$7/12</f>
        <v>5.3424388888888634</v>
      </c>
      <c r="L110" s="235">
        <f t="shared" ref="L110:L165" si="24">$J$7/$K$8</f>
        <v>5.7240416666666665</v>
      </c>
      <c r="M110" s="236">
        <f t="shared" si="18"/>
        <v>11.066480555555529</v>
      </c>
      <c r="N110" s="238"/>
      <c r="O110" s="514"/>
      <c r="P110" s="234" t="s">
        <v>229</v>
      </c>
      <c r="Q110" s="235">
        <f t="shared" si="15"/>
        <v>938.13479999999868</v>
      </c>
      <c r="R110" s="235">
        <f t="shared" si="13"/>
        <v>15.635579999999978</v>
      </c>
      <c r="S110" s="235">
        <f t="shared" si="14"/>
        <v>13.796099999999999</v>
      </c>
      <c r="T110" s="236">
        <f t="shared" si="19"/>
        <v>29.431679999999979</v>
      </c>
      <c r="U110" s="238"/>
      <c r="V110" s="514"/>
      <c r="W110" s="234" t="s">
        <v>229</v>
      </c>
      <c r="X110" s="235"/>
      <c r="Y110" s="235"/>
      <c r="Z110" s="235"/>
      <c r="AA110" s="236">
        <f t="shared" si="20"/>
        <v>0</v>
      </c>
      <c r="AB110" s="238"/>
      <c r="AC110" s="514"/>
      <c r="AD110" s="234" t="s">
        <v>229</v>
      </c>
      <c r="AE110" s="235"/>
      <c r="AF110" s="235"/>
      <c r="AG110" s="235"/>
      <c r="AH110" s="236">
        <f t="shared" si="21"/>
        <v>0</v>
      </c>
      <c r="AI110" s="238"/>
      <c r="AK110" s="240"/>
    </row>
    <row r="111" spans="1:37" x14ac:dyDescent="0.2">
      <c r="A111" s="514"/>
      <c r="B111" s="234" t="s">
        <v>230</v>
      </c>
      <c r="C111" s="235">
        <f t="shared" ref="C111:C164" si="25">C110-E110</f>
        <v>46.010226804124358</v>
      </c>
      <c r="D111" s="235">
        <f t="shared" si="22"/>
        <v>0.76683711340207272</v>
      </c>
      <c r="E111" s="245">
        <f t="shared" si="16"/>
        <v>0.85204123711341284</v>
      </c>
      <c r="F111" s="236">
        <f t="shared" si="17"/>
        <v>1.6188783505154856</v>
      </c>
      <c r="G111" s="238"/>
      <c r="H111" s="514"/>
      <c r="I111" s="234" t="s">
        <v>230</v>
      </c>
      <c r="J111" s="235">
        <f t="shared" ref="J111:J165" si="26">J110-L110</f>
        <v>314.82229166666508</v>
      </c>
      <c r="K111" s="235">
        <f t="shared" si="23"/>
        <v>5.2470381944444187</v>
      </c>
      <c r="L111" s="235">
        <f t="shared" si="24"/>
        <v>5.7240416666666665</v>
      </c>
      <c r="M111" s="236">
        <f t="shared" si="18"/>
        <v>10.971079861111086</v>
      </c>
      <c r="N111" s="238"/>
      <c r="O111" s="514"/>
      <c r="P111" s="234" t="s">
        <v>230</v>
      </c>
      <c r="Q111" s="235">
        <f t="shared" si="15"/>
        <v>924.33869999999865</v>
      </c>
      <c r="R111" s="235">
        <f t="shared" si="13"/>
        <v>15.405644999999978</v>
      </c>
      <c r="S111" s="235">
        <f t="shared" si="14"/>
        <v>13.796099999999999</v>
      </c>
      <c r="T111" s="236">
        <f t="shared" si="19"/>
        <v>29.201744999999978</v>
      </c>
      <c r="U111" s="238"/>
      <c r="V111" s="514"/>
      <c r="W111" s="234" t="s">
        <v>230</v>
      </c>
      <c r="X111" s="235"/>
      <c r="Y111" s="235"/>
      <c r="Z111" s="235"/>
      <c r="AA111" s="236">
        <f t="shared" si="20"/>
        <v>0</v>
      </c>
      <c r="AB111" s="238"/>
      <c r="AC111" s="514"/>
      <c r="AD111" s="234" t="s">
        <v>230</v>
      </c>
      <c r="AE111" s="235"/>
      <c r="AF111" s="235"/>
      <c r="AG111" s="235"/>
      <c r="AH111" s="236">
        <f t="shared" si="21"/>
        <v>0</v>
      </c>
      <c r="AI111" s="238"/>
      <c r="AK111" s="240"/>
    </row>
    <row r="112" spans="1:37" x14ac:dyDescent="0.2">
      <c r="A112" s="514"/>
      <c r="B112" s="234" t="s">
        <v>231</v>
      </c>
      <c r="C112" s="235">
        <f t="shared" si="25"/>
        <v>45.158185567010946</v>
      </c>
      <c r="D112" s="235">
        <f t="shared" si="22"/>
        <v>0.75263642611684911</v>
      </c>
      <c r="E112" s="245">
        <f t="shared" si="16"/>
        <v>0.85204123711341284</v>
      </c>
      <c r="F112" s="236">
        <f t="shared" si="17"/>
        <v>1.604677663230262</v>
      </c>
      <c r="G112" s="238"/>
      <c r="H112" s="514"/>
      <c r="I112" s="234" t="s">
        <v>231</v>
      </c>
      <c r="J112" s="235">
        <f t="shared" si="26"/>
        <v>309.09824999999842</v>
      </c>
      <c r="K112" s="235">
        <f t="shared" si="23"/>
        <v>5.1516374999999739</v>
      </c>
      <c r="L112" s="235">
        <f t="shared" si="24"/>
        <v>5.7240416666666665</v>
      </c>
      <c r="M112" s="236">
        <f t="shared" si="18"/>
        <v>10.875679166666639</v>
      </c>
      <c r="N112" s="238"/>
      <c r="O112" s="514"/>
      <c r="P112" s="234" t="s">
        <v>231</v>
      </c>
      <c r="Q112" s="235">
        <f t="shared" si="15"/>
        <v>910.54259999999863</v>
      </c>
      <c r="R112" s="235">
        <f t="shared" si="13"/>
        <v>15.175709999999979</v>
      </c>
      <c r="S112" s="235">
        <f t="shared" si="14"/>
        <v>13.796099999999999</v>
      </c>
      <c r="T112" s="236">
        <f t="shared" si="19"/>
        <v>28.971809999999977</v>
      </c>
      <c r="U112" s="238"/>
      <c r="V112" s="514"/>
      <c r="W112" s="234" t="s">
        <v>231</v>
      </c>
      <c r="X112" s="235"/>
      <c r="Y112" s="235"/>
      <c r="Z112" s="235"/>
      <c r="AA112" s="236">
        <f t="shared" si="20"/>
        <v>0</v>
      </c>
      <c r="AB112" s="238"/>
      <c r="AC112" s="514"/>
      <c r="AD112" s="234" t="s">
        <v>231</v>
      </c>
      <c r="AE112" s="235"/>
      <c r="AF112" s="235"/>
      <c r="AG112" s="235"/>
      <c r="AH112" s="236">
        <f t="shared" si="21"/>
        <v>0</v>
      </c>
      <c r="AI112" s="238"/>
      <c r="AK112" s="240"/>
    </row>
    <row r="113" spans="1:37" x14ac:dyDescent="0.2">
      <c r="A113" s="514"/>
      <c r="B113" s="234" t="s">
        <v>232</v>
      </c>
      <c r="C113" s="235">
        <f t="shared" si="25"/>
        <v>44.306144329897535</v>
      </c>
      <c r="D113" s="235">
        <f t="shared" si="22"/>
        <v>0.73843573883162561</v>
      </c>
      <c r="E113" s="245">
        <f t="shared" si="16"/>
        <v>0.85204123711341284</v>
      </c>
      <c r="F113" s="236">
        <f t="shared" si="17"/>
        <v>1.5904769759450383</v>
      </c>
      <c r="G113" s="238"/>
      <c r="H113" s="514"/>
      <c r="I113" s="234" t="s">
        <v>232</v>
      </c>
      <c r="J113" s="235">
        <f t="shared" si="26"/>
        <v>303.37420833333175</v>
      </c>
      <c r="K113" s="235">
        <f t="shared" si="23"/>
        <v>5.0562368055555291</v>
      </c>
      <c r="L113" s="235">
        <f t="shared" si="24"/>
        <v>5.7240416666666665</v>
      </c>
      <c r="M113" s="236">
        <f t="shared" si="18"/>
        <v>10.780278472222196</v>
      </c>
      <c r="N113" s="238"/>
      <c r="O113" s="514"/>
      <c r="P113" s="234" t="s">
        <v>232</v>
      </c>
      <c r="Q113" s="235">
        <f t="shared" si="15"/>
        <v>896.7464999999986</v>
      </c>
      <c r="R113" s="235">
        <f t="shared" si="13"/>
        <v>14.945774999999978</v>
      </c>
      <c r="S113" s="235">
        <f t="shared" si="14"/>
        <v>13.796099999999999</v>
      </c>
      <c r="T113" s="236">
        <f t="shared" si="19"/>
        <v>28.741874999999979</v>
      </c>
      <c r="U113" s="238"/>
      <c r="V113" s="514"/>
      <c r="W113" s="234" t="s">
        <v>232</v>
      </c>
      <c r="X113" s="235"/>
      <c r="Y113" s="235"/>
      <c r="Z113" s="235"/>
      <c r="AA113" s="236">
        <f t="shared" si="20"/>
        <v>0</v>
      </c>
      <c r="AB113" s="238"/>
      <c r="AC113" s="514"/>
      <c r="AD113" s="234" t="s">
        <v>232</v>
      </c>
      <c r="AE113" s="235"/>
      <c r="AF113" s="235"/>
      <c r="AG113" s="235"/>
      <c r="AH113" s="236">
        <f t="shared" si="21"/>
        <v>0</v>
      </c>
      <c r="AI113" s="238"/>
      <c r="AK113" s="240"/>
    </row>
    <row r="114" spans="1:37" x14ac:dyDescent="0.2">
      <c r="A114" s="514"/>
      <c r="B114" s="234" t="s">
        <v>233</v>
      </c>
      <c r="C114" s="235">
        <f t="shared" si="25"/>
        <v>43.454103092784123</v>
      </c>
      <c r="D114" s="235">
        <f t="shared" si="22"/>
        <v>0.72423505154640211</v>
      </c>
      <c r="E114" s="245">
        <f t="shared" si="16"/>
        <v>0.85204123711341284</v>
      </c>
      <c r="F114" s="236">
        <f t="shared" si="17"/>
        <v>1.576276288659815</v>
      </c>
      <c r="G114" s="238"/>
      <c r="H114" s="514"/>
      <c r="I114" s="234" t="s">
        <v>233</v>
      </c>
      <c r="J114" s="235">
        <f t="shared" si="26"/>
        <v>297.65016666666509</v>
      </c>
      <c r="K114" s="235">
        <f t="shared" si="23"/>
        <v>4.9608361111110852</v>
      </c>
      <c r="L114" s="235">
        <f t="shared" si="24"/>
        <v>5.7240416666666665</v>
      </c>
      <c r="M114" s="236">
        <f t="shared" si="18"/>
        <v>10.684877777777752</v>
      </c>
      <c r="N114" s="238"/>
      <c r="O114" s="514"/>
      <c r="P114" s="234" t="s">
        <v>233</v>
      </c>
      <c r="Q114" s="235">
        <f t="shared" si="15"/>
        <v>882.95039999999858</v>
      </c>
      <c r="R114" s="235">
        <f t="shared" si="13"/>
        <v>14.715839999999977</v>
      </c>
      <c r="S114" s="235">
        <f t="shared" si="14"/>
        <v>13.796099999999999</v>
      </c>
      <c r="T114" s="236">
        <f t="shared" si="19"/>
        <v>28.511939999999974</v>
      </c>
      <c r="U114" s="238"/>
      <c r="V114" s="514"/>
      <c r="W114" s="234" t="s">
        <v>233</v>
      </c>
      <c r="X114" s="235"/>
      <c r="Y114" s="235"/>
      <c r="Z114" s="235"/>
      <c r="AA114" s="236">
        <f t="shared" si="20"/>
        <v>0</v>
      </c>
      <c r="AB114" s="238"/>
      <c r="AC114" s="514"/>
      <c r="AD114" s="234" t="s">
        <v>233</v>
      </c>
      <c r="AE114" s="235"/>
      <c r="AF114" s="235"/>
      <c r="AG114" s="235"/>
      <c r="AH114" s="236">
        <f t="shared" si="21"/>
        <v>0</v>
      </c>
      <c r="AI114" s="238"/>
      <c r="AK114" s="240"/>
    </row>
    <row r="115" spans="1:37" x14ac:dyDescent="0.2">
      <c r="A115" s="514"/>
      <c r="B115" s="234" t="s">
        <v>234</v>
      </c>
      <c r="C115" s="235">
        <f t="shared" si="25"/>
        <v>42.602061855670712</v>
      </c>
      <c r="D115" s="235">
        <f t="shared" si="22"/>
        <v>0.7100343642611785</v>
      </c>
      <c r="E115" s="245">
        <f t="shared" si="16"/>
        <v>0.85204123711341284</v>
      </c>
      <c r="F115" s="236">
        <f t="shared" si="17"/>
        <v>1.5620756013745913</v>
      </c>
      <c r="G115" s="238"/>
      <c r="H115" s="514"/>
      <c r="I115" s="234" t="s">
        <v>234</v>
      </c>
      <c r="J115" s="235">
        <f t="shared" si="26"/>
        <v>291.92612499999842</v>
      </c>
      <c r="K115" s="235">
        <f t="shared" si="23"/>
        <v>4.8654354166666405</v>
      </c>
      <c r="L115" s="235">
        <f t="shared" si="24"/>
        <v>5.7240416666666665</v>
      </c>
      <c r="M115" s="236">
        <f t="shared" si="18"/>
        <v>10.589477083333307</v>
      </c>
      <c r="N115" s="238"/>
      <c r="O115" s="514"/>
      <c r="P115" s="234" t="s">
        <v>234</v>
      </c>
      <c r="Q115" s="235">
        <f t="shared" si="15"/>
        <v>869.15429999999856</v>
      </c>
      <c r="R115" s="235">
        <f t="shared" si="13"/>
        <v>14.485904999999976</v>
      </c>
      <c r="S115" s="235">
        <f t="shared" si="14"/>
        <v>13.796099999999999</v>
      </c>
      <c r="T115" s="236">
        <f t="shared" si="19"/>
        <v>28.282004999999977</v>
      </c>
      <c r="U115" s="238"/>
      <c r="V115" s="514"/>
      <c r="W115" s="234" t="s">
        <v>234</v>
      </c>
      <c r="X115" s="235"/>
      <c r="Y115" s="235"/>
      <c r="Z115" s="235"/>
      <c r="AA115" s="236">
        <f t="shared" si="20"/>
        <v>0</v>
      </c>
      <c r="AB115" s="238"/>
      <c r="AC115" s="514"/>
      <c r="AD115" s="234" t="s">
        <v>234</v>
      </c>
      <c r="AE115" s="235"/>
      <c r="AF115" s="235"/>
      <c r="AG115" s="235"/>
      <c r="AH115" s="236">
        <f t="shared" si="21"/>
        <v>0</v>
      </c>
      <c r="AI115" s="238"/>
      <c r="AK115" s="240"/>
    </row>
    <row r="116" spans="1:37" x14ac:dyDescent="0.2">
      <c r="A116" s="514"/>
      <c r="B116" s="234" t="s">
        <v>235</v>
      </c>
      <c r="C116" s="235">
        <f t="shared" si="25"/>
        <v>41.750020618557301</v>
      </c>
      <c r="D116" s="235">
        <f t="shared" si="22"/>
        <v>0.69583367697595511</v>
      </c>
      <c r="E116" s="245">
        <f t="shared" si="16"/>
        <v>0.85204123711341284</v>
      </c>
      <c r="F116" s="236">
        <f t="shared" si="17"/>
        <v>1.5478749140893679</v>
      </c>
      <c r="G116" s="238"/>
      <c r="H116" s="514"/>
      <c r="I116" s="234" t="s">
        <v>235</v>
      </c>
      <c r="J116" s="235">
        <f t="shared" si="26"/>
        <v>286.20208333333176</v>
      </c>
      <c r="K116" s="235">
        <f t="shared" si="23"/>
        <v>4.7700347222221966</v>
      </c>
      <c r="L116" s="235">
        <f t="shared" si="24"/>
        <v>5.7240416666666665</v>
      </c>
      <c r="M116" s="236">
        <f t="shared" si="18"/>
        <v>10.494076388888864</v>
      </c>
      <c r="N116" s="238"/>
      <c r="O116" s="514"/>
      <c r="P116" s="234" t="s">
        <v>235</v>
      </c>
      <c r="Q116" s="235">
        <f t="shared" si="15"/>
        <v>855.35819999999853</v>
      </c>
      <c r="R116" s="235">
        <f t="shared" si="13"/>
        <v>14.255969999999976</v>
      </c>
      <c r="S116" s="235">
        <f t="shared" si="14"/>
        <v>13.796099999999999</v>
      </c>
      <c r="T116" s="236">
        <f t="shared" si="19"/>
        <v>28.052069999999976</v>
      </c>
      <c r="U116" s="238"/>
      <c r="V116" s="514"/>
      <c r="W116" s="234" t="s">
        <v>235</v>
      </c>
      <c r="X116" s="235"/>
      <c r="Y116" s="235"/>
      <c r="Z116" s="235"/>
      <c r="AA116" s="236">
        <f t="shared" si="20"/>
        <v>0</v>
      </c>
      <c r="AB116" s="238"/>
      <c r="AC116" s="514"/>
      <c r="AD116" s="234" t="s">
        <v>235</v>
      </c>
      <c r="AE116" s="235"/>
      <c r="AF116" s="235"/>
      <c r="AG116" s="235"/>
      <c r="AH116" s="236">
        <f t="shared" si="21"/>
        <v>0</v>
      </c>
      <c r="AI116" s="238"/>
      <c r="AK116" s="240"/>
    </row>
    <row r="117" spans="1:37" x14ac:dyDescent="0.2">
      <c r="A117" s="515"/>
      <c r="B117" s="234" t="s">
        <v>236</v>
      </c>
      <c r="C117" s="235">
        <f t="shared" si="25"/>
        <v>40.897979381443889</v>
      </c>
      <c r="D117" s="235">
        <f t="shared" si="22"/>
        <v>0.68163298969073149</v>
      </c>
      <c r="E117" s="245">
        <f t="shared" si="16"/>
        <v>0.85204123711341284</v>
      </c>
      <c r="F117" s="236">
        <f t="shared" si="17"/>
        <v>1.5336742268041443</v>
      </c>
      <c r="G117" s="239">
        <f>SUM(D106:D117)</f>
        <v>9.1168412371135314</v>
      </c>
      <c r="H117" s="515"/>
      <c r="I117" s="234" t="s">
        <v>236</v>
      </c>
      <c r="J117" s="235">
        <f t="shared" si="26"/>
        <v>280.47804166666509</v>
      </c>
      <c r="K117" s="235">
        <f t="shared" si="23"/>
        <v>4.6746340277777518</v>
      </c>
      <c r="L117" s="235">
        <f t="shared" si="24"/>
        <v>5.7240416666666665</v>
      </c>
      <c r="M117" s="236">
        <f t="shared" si="18"/>
        <v>10.398675694444417</v>
      </c>
      <c r="N117" s="239">
        <f>SUM(K106:K117)</f>
        <v>62.392054166666355</v>
      </c>
      <c r="O117" s="515"/>
      <c r="P117" s="234" t="s">
        <v>236</v>
      </c>
      <c r="Q117" s="235">
        <f t="shared" si="15"/>
        <v>841.56209999999851</v>
      </c>
      <c r="R117" s="235">
        <f t="shared" si="13"/>
        <v>14.026034999999977</v>
      </c>
      <c r="S117" s="235">
        <f t="shared" si="14"/>
        <v>13.796099999999999</v>
      </c>
      <c r="T117" s="236">
        <f t="shared" si="19"/>
        <v>27.822134999999975</v>
      </c>
      <c r="U117" s="239">
        <f>SUM(R106:R117)</f>
        <v>183.48812999999973</v>
      </c>
      <c r="V117" s="515"/>
      <c r="W117" s="234" t="s">
        <v>236</v>
      </c>
      <c r="X117" s="235"/>
      <c r="Y117" s="235"/>
      <c r="Z117" s="235"/>
      <c r="AA117" s="236">
        <f t="shared" si="20"/>
        <v>0</v>
      </c>
      <c r="AB117" s="239">
        <f>SUM(Y106:Y117)</f>
        <v>0</v>
      </c>
      <c r="AC117" s="515"/>
      <c r="AD117" s="234" t="s">
        <v>236</v>
      </c>
      <c r="AE117" s="235"/>
      <c r="AF117" s="235"/>
      <c r="AG117" s="235"/>
      <c r="AH117" s="236">
        <f t="shared" si="21"/>
        <v>0</v>
      </c>
      <c r="AI117" s="239">
        <f>SUM(AF106:AF117)</f>
        <v>0</v>
      </c>
      <c r="AJ117" s="208">
        <f>AJ105+1</f>
        <v>2030</v>
      </c>
      <c r="AK117" s="240">
        <f>G117+N117+U117+AB117+AI117</f>
        <v>254.99702540377962</v>
      </c>
    </row>
    <row r="118" spans="1:37" x14ac:dyDescent="0.2">
      <c r="A118" s="513">
        <f>A106+1</f>
        <v>2031</v>
      </c>
      <c r="B118" s="234" t="s">
        <v>225</v>
      </c>
      <c r="C118" s="235">
        <f t="shared" si="25"/>
        <v>40.045938144330478</v>
      </c>
      <c r="D118" s="235">
        <f t="shared" si="22"/>
        <v>0.66743230240550799</v>
      </c>
      <c r="E118" s="245">
        <f>$C$68/($D$8-23)</f>
        <v>0.85204123711341284</v>
      </c>
      <c r="F118" s="236">
        <f t="shared" si="17"/>
        <v>1.5194735395189207</v>
      </c>
      <c r="G118" s="237"/>
      <c r="H118" s="513">
        <f>H106+1</f>
        <v>2031</v>
      </c>
      <c r="I118" s="234" t="s">
        <v>225</v>
      </c>
      <c r="J118" s="235">
        <f t="shared" si="26"/>
        <v>274.75399999999843</v>
      </c>
      <c r="K118" s="235">
        <f t="shared" si="23"/>
        <v>4.5792333333333071</v>
      </c>
      <c r="L118" s="235">
        <f t="shared" si="24"/>
        <v>5.7240416666666665</v>
      </c>
      <c r="M118" s="236">
        <f t="shared" si="18"/>
        <v>10.303274999999974</v>
      </c>
      <c r="N118" s="237"/>
      <c r="O118" s="513">
        <f>O106+1</f>
        <v>2031</v>
      </c>
      <c r="P118" s="234" t="s">
        <v>225</v>
      </c>
      <c r="Q118" s="235">
        <f t="shared" si="15"/>
        <v>827.76599999999848</v>
      </c>
      <c r="R118" s="235">
        <f t="shared" si="13"/>
        <v>13.796099999999976</v>
      </c>
      <c r="S118" s="235">
        <f t="shared" si="14"/>
        <v>13.796099999999999</v>
      </c>
      <c r="T118" s="236">
        <f t="shared" si="19"/>
        <v>27.592199999999977</v>
      </c>
      <c r="U118" s="237"/>
      <c r="V118" s="513">
        <f>V106+1</f>
        <v>2030</v>
      </c>
      <c r="W118" s="234" t="s">
        <v>225</v>
      </c>
      <c r="X118" s="235"/>
      <c r="Y118" s="235"/>
      <c r="Z118" s="235"/>
      <c r="AA118" s="236">
        <f t="shared" si="20"/>
        <v>0</v>
      </c>
      <c r="AB118" s="237"/>
      <c r="AC118" s="513">
        <f>AC106+1</f>
        <v>2030</v>
      </c>
      <c r="AD118" s="234" t="s">
        <v>225</v>
      </c>
      <c r="AE118" s="235"/>
      <c r="AF118" s="235"/>
      <c r="AG118" s="235"/>
      <c r="AH118" s="236">
        <f t="shared" si="21"/>
        <v>0</v>
      </c>
      <c r="AI118" s="237"/>
      <c r="AK118" s="240"/>
    </row>
    <row r="119" spans="1:37" x14ac:dyDescent="0.2">
      <c r="A119" s="514"/>
      <c r="B119" s="234" t="s">
        <v>226</v>
      </c>
      <c r="C119" s="235">
        <f t="shared" si="25"/>
        <v>39.193896907217066</v>
      </c>
      <c r="D119" s="235">
        <f t="shared" si="22"/>
        <v>0.65323161512028449</v>
      </c>
      <c r="E119" s="245">
        <f t="shared" si="16"/>
        <v>0.85204123711341284</v>
      </c>
      <c r="F119" s="236">
        <f t="shared" si="17"/>
        <v>1.5052728522336973</v>
      </c>
      <c r="G119" s="238"/>
      <c r="H119" s="514"/>
      <c r="I119" s="234" t="s">
        <v>226</v>
      </c>
      <c r="J119" s="235">
        <f t="shared" si="26"/>
        <v>269.02995833333176</v>
      </c>
      <c r="K119" s="235">
        <f t="shared" si="23"/>
        <v>4.4838326388888632</v>
      </c>
      <c r="L119" s="235">
        <f t="shared" si="24"/>
        <v>5.7240416666666665</v>
      </c>
      <c r="M119" s="236">
        <f t="shared" si="18"/>
        <v>10.20787430555553</v>
      </c>
      <c r="N119" s="238"/>
      <c r="O119" s="514"/>
      <c r="P119" s="234" t="s">
        <v>226</v>
      </c>
      <c r="Q119" s="235">
        <f t="shared" si="15"/>
        <v>813.96989999999846</v>
      </c>
      <c r="R119" s="235">
        <f t="shared" si="13"/>
        <v>13.566164999999975</v>
      </c>
      <c r="S119" s="235">
        <f t="shared" si="14"/>
        <v>13.796099999999999</v>
      </c>
      <c r="T119" s="236">
        <f t="shared" si="19"/>
        <v>27.362264999999972</v>
      </c>
      <c r="U119" s="238"/>
      <c r="V119" s="514"/>
      <c r="W119" s="234" t="s">
        <v>226</v>
      </c>
      <c r="X119" s="235"/>
      <c r="Y119" s="235"/>
      <c r="Z119" s="235"/>
      <c r="AA119" s="236">
        <f t="shared" si="20"/>
        <v>0</v>
      </c>
      <c r="AB119" s="238"/>
      <c r="AC119" s="514"/>
      <c r="AD119" s="234" t="s">
        <v>226</v>
      </c>
      <c r="AE119" s="235"/>
      <c r="AF119" s="235"/>
      <c r="AG119" s="235"/>
      <c r="AH119" s="236">
        <f t="shared" si="21"/>
        <v>0</v>
      </c>
      <c r="AI119" s="238"/>
      <c r="AK119" s="240"/>
    </row>
    <row r="120" spans="1:37" x14ac:dyDescent="0.2">
      <c r="A120" s="514"/>
      <c r="B120" s="234" t="s">
        <v>227</v>
      </c>
      <c r="C120" s="235">
        <f t="shared" si="25"/>
        <v>38.341855670103655</v>
      </c>
      <c r="D120" s="235">
        <f t="shared" si="22"/>
        <v>0.63903092783506088</v>
      </c>
      <c r="E120" s="245">
        <f t="shared" si="16"/>
        <v>0.85204123711341284</v>
      </c>
      <c r="F120" s="236">
        <f t="shared" si="17"/>
        <v>1.4910721649484737</v>
      </c>
      <c r="G120" s="238"/>
      <c r="H120" s="514"/>
      <c r="I120" s="234" t="s">
        <v>227</v>
      </c>
      <c r="J120" s="235">
        <f t="shared" si="26"/>
        <v>263.3059166666651</v>
      </c>
      <c r="K120" s="235">
        <f t="shared" si="23"/>
        <v>4.3884319444444184</v>
      </c>
      <c r="L120" s="235">
        <f t="shared" si="24"/>
        <v>5.7240416666666665</v>
      </c>
      <c r="M120" s="236">
        <f t="shared" si="18"/>
        <v>10.112473611111085</v>
      </c>
      <c r="N120" s="238"/>
      <c r="O120" s="514"/>
      <c r="P120" s="234" t="s">
        <v>227</v>
      </c>
      <c r="Q120" s="235">
        <f t="shared" si="15"/>
        <v>800.17379999999844</v>
      </c>
      <c r="R120" s="235">
        <f t="shared" si="13"/>
        <v>13.336229999999974</v>
      </c>
      <c r="S120" s="235">
        <f t="shared" si="14"/>
        <v>13.796099999999999</v>
      </c>
      <c r="T120" s="236">
        <f t="shared" si="19"/>
        <v>27.132329999999975</v>
      </c>
      <c r="U120" s="238"/>
      <c r="V120" s="514"/>
      <c r="W120" s="234" t="s">
        <v>227</v>
      </c>
      <c r="X120" s="235"/>
      <c r="Y120" s="235"/>
      <c r="Z120" s="235"/>
      <c r="AA120" s="236">
        <f t="shared" si="20"/>
        <v>0</v>
      </c>
      <c r="AB120" s="238"/>
      <c r="AC120" s="514"/>
      <c r="AD120" s="234" t="s">
        <v>227</v>
      </c>
      <c r="AE120" s="235"/>
      <c r="AF120" s="235"/>
      <c r="AG120" s="235"/>
      <c r="AH120" s="236">
        <f t="shared" si="21"/>
        <v>0</v>
      </c>
      <c r="AI120" s="238"/>
      <c r="AK120" s="240"/>
    </row>
    <row r="121" spans="1:37" x14ac:dyDescent="0.2">
      <c r="A121" s="514"/>
      <c r="B121" s="234" t="s">
        <v>228</v>
      </c>
      <c r="C121" s="235">
        <f t="shared" si="25"/>
        <v>37.489814432990244</v>
      </c>
      <c r="D121" s="235">
        <f t="shared" si="22"/>
        <v>0.62483024054983749</v>
      </c>
      <c r="E121" s="245">
        <f t="shared" si="16"/>
        <v>0.85204123711341284</v>
      </c>
      <c r="F121" s="236">
        <f t="shared" si="17"/>
        <v>1.4768714776632503</v>
      </c>
      <c r="G121" s="238"/>
      <c r="H121" s="514"/>
      <c r="I121" s="234" t="s">
        <v>228</v>
      </c>
      <c r="J121" s="235">
        <f t="shared" si="26"/>
        <v>257.58187499999843</v>
      </c>
      <c r="K121" s="235">
        <f t="shared" si="23"/>
        <v>4.2930312499999745</v>
      </c>
      <c r="L121" s="235">
        <f t="shared" si="24"/>
        <v>5.7240416666666665</v>
      </c>
      <c r="M121" s="236">
        <f t="shared" si="18"/>
        <v>10.017072916666642</v>
      </c>
      <c r="N121" s="238"/>
      <c r="O121" s="514"/>
      <c r="P121" s="234" t="s">
        <v>228</v>
      </c>
      <c r="Q121" s="235">
        <f t="shared" si="15"/>
        <v>786.37769999999841</v>
      </c>
      <c r="R121" s="235">
        <f t="shared" si="13"/>
        <v>13.106294999999974</v>
      </c>
      <c r="S121" s="235">
        <f t="shared" si="14"/>
        <v>13.796099999999999</v>
      </c>
      <c r="T121" s="236">
        <f t="shared" si="19"/>
        <v>26.902394999999974</v>
      </c>
      <c r="U121" s="238"/>
      <c r="V121" s="514"/>
      <c r="W121" s="234" t="s">
        <v>228</v>
      </c>
      <c r="X121" s="235"/>
      <c r="Y121" s="235"/>
      <c r="Z121" s="235"/>
      <c r="AA121" s="236">
        <f t="shared" si="20"/>
        <v>0</v>
      </c>
      <c r="AB121" s="238"/>
      <c r="AC121" s="514"/>
      <c r="AD121" s="234" t="s">
        <v>228</v>
      </c>
      <c r="AE121" s="235"/>
      <c r="AF121" s="235"/>
      <c r="AG121" s="235"/>
      <c r="AH121" s="236">
        <f t="shared" si="21"/>
        <v>0</v>
      </c>
      <c r="AI121" s="238"/>
      <c r="AK121" s="240"/>
    </row>
    <row r="122" spans="1:37" x14ac:dyDescent="0.2">
      <c r="A122" s="514"/>
      <c r="B122" s="234" t="s">
        <v>229</v>
      </c>
      <c r="C122" s="235">
        <f t="shared" si="25"/>
        <v>36.637773195876832</v>
      </c>
      <c r="D122" s="235">
        <f t="shared" si="22"/>
        <v>0.61062955326461388</v>
      </c>
      <c r="E122" s="245">
        <f t="shared" si="16"/>
        <v>0.85204123711341284</v>
      </c>
      <c r="F122" s="236">
        <f t="shared" si="17"/>
        <v>1.4626707903780267</v>
      </c>
      <c r="G122" s="238"/>
      <c r="H122" s="514"/>
      <c r="I122" s="234" t="s">
        <v>229</v>
      </c>
      <c r="J122" s="235">
        <f t="shared" si="26"/>
        <v>251.85783333333177</v>
      </c>
      <c r="K122" s="235">
        <f t="shared" si="23"/>
        <v>4.1976305555555298</v>
      </c>
      <c r="L122" s="235">
        <f t="shared" si="24"/>
        <v>5.7240416666666665</v>
      </c>
      <c r="M122" s="236">
        <f t="shared" si="18"/>
        <v>9.9216722222221954</v>
      </c>
      <c r="N122" s="238"/>
      <c r="O122" s="514"/>
      <c r="P122" s="234" t="s">
        <v>229</v>
      </c>
      <c r="Q122" s="235">
        <f t="shared" si="15"/>
        <v>772.58159999999839</v>
      </c>
      <c r="R122" s="235">
        <f t="shared" ref="R122:R177" si="27">Q122*$D$7/12</f>
        <v>12.876359999999975</v>
      </c>
      <c r="S122" s="235">
        <f t="shared" ref="S122:S177" si="28">$Q$7/R$8</f>
        <v>13.796099999999999</v>
      </c>
      <c r="T122" s="236">
        <f t="shared" si="19"/>
        <v>26.672459999999973</v>
      </c>
      <c r="U122" s="238"/>
      <c r="V122" s="514"/>
      <c r="W122" s="234" t="s">
        <v>229</v>
      </c>
      <c r="X122" s="235"/>
      <c r="Y122" s="235"/>
      <c r="Z122" s="235"/>
      <c r="AA122" s="236">
        <f t="shared" si="20"/>
        <v>0</v>
      </c>
      <c r="AB122" s="238"/>
      <c r="AC122" s="514"/>
      <c r="AD122" s="234" t="s">
        <v>229</v>
      </c>
      <c r="AE122" s="235"/>
      <c r="AF122" s="235"/>
      <c r="AG122" s="235"/>
      <c r="AH122" s="236">
        <f t="shared" si="21"/>
        <v>0</v>
      </c>
      <c r="AI122" s="238"/>
      <c r="AK122" s="240"/>
    </row>
    <row r="123" spans="1:37" x14ac:dyDescent="0.2">
      <c r="A123" s="514"/>
      <c r="B123" s="234" t="s">
        <v>230</v>
      </c>
      <c r="C123" s="235">
        <f t="shared" si="25"/>
        <v>35.785731958763421</v>
      </c>
      <c r="D123" s="235">
        <f t="shared" si="22"/>
        <v>0.59642886597939038</v>
      </c>
      <c r="E123" s="245">
        <f t="shared" si="16"/>
        <v>0.85204123711341284</v>
      </c>
      <c r="F123" s="236">
        <f t="shared" si="17"/>
        <v>1.4484701030928031</v>
      </c>
      <c r="G123" s="238"/>
      <c r="H123" s="514"/>
      <c r="I123" s="234" t="s">
        <v>230</v>
      </c>
      <c r="J123" s="235">
        <f t="shared" si="26"/>
        <v>246.1337916666651</v>
      </c>
      <c r="K123" s="235">
        <f t="shared" si="23"/>
        <v>4.102229861111085</v>
      </c>
      <c r="L123" s="235">
        <f t="shared" si="24"/>
        <v>5.7240416666666665</v>
      </c>
      <c r="M123" s="236">
        <f t="shared" si="18"/>
        <v>9.8262715277777524</v>
      </c>
      <c r="N123" s="238"/>
      <c r="O123" s="514"/>
      <c r="P123" s="234" t="s">
        <v>230</v>
      </c>
      <c r="Q123" s="235">
        <f t="shared" ref="Q123:Q177" si="29">Q122-S122</f>
        <v>758.78549999999836</v>
      </c>
      <c r="R123" s="235">
        <f t="shared" si="27"/>
        <v>12.646424999999972</v>
      </c>
      <c r="S123" s="235">
        <f t="shared" si="28"/>
        <v>13.796099999999999</v>
      </c>
      <c r="T123" s="236">
        <f t="shared" si="19"/>
        <v>26.442524999999971</v>
      </c>
      <c r="U123" s="238"/>
      <c r="V123" s="514"/>
      <c r="W123" s="234" t="s">
        <v>230</v>
      </c>
      <c r="X123" s="235"/>
      <c r="Y123" s="235"/>
      <c r="Z123" s="235"/>
      <c r="AA123" s="236">
        <f t="shared" si="20"/>
        <v>0</v>
      </c>
      <c r="AB123" s="238"/>
      <c r="AC123" s="514"/>
      <c r="AD123" s="234" t="s">
        <v>230</v>
      </c>
      <c r="AE123" s="235"/>
      <c r="AF123" s="235"/>
      <c r="AG123" s="235"/>
      <c r="AH123" s="236">
        <f t="shared" si="21"/>
        <v>0</v>
      </c>
      <c r="AI123" s="238"/>
      <c r="AK123" s="240"/>
    </row>
    <row r="124" spans="1:37" x14ac:dyDescent="0.2">
      <c r="A124" s="514"/>
      <c r="B124" s="234" t="s">
        <v>231</v>
      </c>
      <c r="C124" s="235">
        <f t="shared" si="25"/>
        <v>34.933690721650009</v>
      </c>
      <c r="D124" s="235">
        <f t="shared" si="22"/>
        <v>0.58222817869416688</v>
      </c>
      <c r="E124" s="245">
        <f t="shared" si="16"/>
        <v>0.85204123711341284</v>
      </c>
      <c r="F124" s="236">
        <f t="shared" si="17"/>
        <v>1.4342694158075797</v>
      </c>
      <c r="G124" s="238"/>
      <c r="H124" s="514"/>
      <c r="I124" s="234" t="s">
        <v>231</v>
      </c>
      <c r="J124" s="235">
        <f t="shared" si="26"/>
        <v>240.40974999999844</v>
      </c>
      <c r="K124" s="235">
        <f t="shared" si="23"/>
        <v>4.0068291666666411</v>
      </c>
      <c r="L124" s="235">
        <f t="shared" si="24"/>
        <v>5.7240416666666665</v>
      </c>
      <c r="M124" s="236">
        <f t="shared" si="18"/>
        <v>9.7308708333333076</v>
      </c>
      <c r="N124" s="238"/>
      <c r="O124" s="514"/>
      <c r="P124" s="234" t="s">
        <v>231</v>
      </c>
      <c r="Q124" s="235">
        <f t="shared" si="29"/>
        <v>744.98939999999834</v>
      </c>
      <c r="R124" s="235">
        <f t="shared" si="27"/>
        <v>12.416489999999973</v>
      </c>
      <c r="S124" s="235">
        <f t="shared" si="28"/>
        <v>13.796099999999999</v>
      </c>
      <c r="T124" s="236">
        <f t="shared" si="19"/>
        <v>26.21258999999997</v>
      </c>
      <c r="U124" s="238"/>
      <c r="V124" s="514"/>
      <c r="W124" s="234" t="s">
        <v>231</v>
      </c>
      <c r="X124" s="235"/>
      <c r="Y124" s="235"/>
      <c r="Z124" s="235"/>
      <c r="AA124" s="236">
        <f t="shared" si="20"/>
        <v>0</v>
      </c>
      <c r="AB124" s="238"/>
      <c r="AC124" s="514"/>
      <c r="AD124" s="234" t="s">
        <v>231</v>
      </c>
      <c r="AE124" s="235"/>
      <c r="AF124" s="235"/>
      <c r="AG124" s="235"/>
      <c r="AH124" s="236">
        <f t="shared" si="21"/>
        <v>0</v>
      </c>
      <c r="AI124" s="238"/>
      <c r="AK124" s="240"/>
    </row>
    <row r="125" spans="1:37" x14ac:dyDescent="0.2">
      <c r="A125" s="514"/>
      <c r="B125" s="234" t="s">
        <v>232</v>
      </c>
      <c r="C125" s="235">
        <f t="shared" si="25"/>
        <v>34.081649484536598</v>
      </c>
      <c r="D125" s="235">
        <f t="shared" si="22"/>
        <v>0.56802749140894326</v>
      </c>
      <c r="E125" s="245">
        <f t="shared" si="16"/>
        <v>0.85204123711341284</v>
      </c>
      <c r="F125" s="236">
        <f t="shared" si="17"/>
        <v>1.4200687285223561</v>
      </c>
      <c r="G125" s="238"/>
      <c r="H125" s="514"/>
      <c r="I125" s="234" t="s">
        <v>232</v>
      </c>
      <c r="J125" s="235">
        <f t="shared" si="26"/>
        <v>234.68570833333177</v>
      </c>
      <c r="K125" s="235">
        <f t="shared" si="23"/>
        <v>3.9114284722221964</v>
      </c>
      <c r="L125" s="235">
        <f t="shared" si="24"/>
        <v>5.7240416666666665</v>
      </c>
      <c r="M125" s="236">
        <f t="shared" si="18"/>
        <v>9.6354701388888628</v>
      </c>
      <c r="N125" s="238"/>
      <c r="O125" s="514"/>
      <c r="P125" s="234" t="s">
        <v>232</v>
      </c>
      <c r="Q125" s="235">
        <f t="shared" si="29"/>
        <v>731.19329999999832</v>
      </c>
      <c r="R125" s="235">
        <f t="shared" si="27"/>
        <v>12.186554999999972</v>
      </c>
      <c r="S125" s="235">
        <f t="shared" si="28"/>
        <v>13.796099999999999</v>
      </c>
      <c r="T125" s="236">
        <f t="shared" si="19"/>
        <v>25.982654999999973</v>
      </c>
      <c r="U125" s="238"/>
      <c r="V125" s="514"/>
      <c r="W125" s="234" t="s">
        <v>232</v>
      </c>
      <c r="X125" s="235"/>
      <c r="Y125" s="235"/>
      <c r="Z125" s="235"/>
      <c r="AA125" s="236">
        <f t="shared" si="20"/>
        <v>0</v>
      </c>
      <c r="AB125" s="238"/>
      <c r="AC125" s="514"/>
      <c r="AD125" s="234" t="s">
        <v>232</v>
      </c>
      <c r="AE125" s="235"/>
      <c r="AF125" s="235"/>
      <c r="AG125" s="235"/>
      <c r="AH125" s="236">
        <f t="shared" si="21"/>
        <v>0</v>
      </c>
      <c r="AI125" s="238"/>
      <c r="AK125" s="240"/>
    </row>
    <row r="126" spans="1:37" x14ac:dyDescent="0.2">
      <c r="A126" s="514"/>
      <c r="B126" s="234" t="s">
        <v>233</v>
      </c>
      <c r="C126" s="235">
        <f t="shared" si="25"/>
        <v>33.229608247423187</v>
      </c>
      <c r="D126" s="235">
        <f t="shared" si="22"/>
        <v>0.55382680412371987</v>
      </c>
      <c r="E126" s="245">
        <f t="shared" si="16"/>
        <v>0.85204123711341284</v>
      </c>
      <c r="F126" s="236">
        <f t="shared" si="17"/>
        <v>1.4058680412371327</v>
      </c>
      <c r="G126" s="238"/>
      <c r="H126" s="514"/>
      <c r="I126" s="234" t="s">
        <v>233</v>
      </c>
      <c r="J126" s="235">
        <f t="shared" si="26"/>
        <v>228.96166666666511</v>
      </c>
      <c r="K126" s="235">
        <f t="shared" si="23"/>
        <v>3.816027777777752</v>
      </c>
      <c r="L126" s="235">
        <f t="shared" si="24"/>
        <v>5.7240416666666665</v>
      </c>
      <c r="M126" s="236">
        <f t="shared" si="18"/>
        <v>9.5400694444444181</v>
      </c>
      <c r="N126" s="238"/>
      <c r="O126" s="514"/>
      <c r="P126" s="234" t="s">
        <v>233</v>
      </c>
      <c r="Q126" s="235">
        <f t="shared" si="29"/>
        <v>717.39719999999829</v>
      </c>
      <c r="R126" s="235">
        <f t="shared" si="27"/>
        <v>11.956619999999972</v>
      </c>
      <c r="S126" s="235">
        <f t="shared" si="28"/>
        <v>13.796099999999999</v>
      </c>
      <c r="T126" s="236">
        <f t="shared" si="19"/>
        <v>25.752719999999972</v>
      </c>
      <c r="U126" s="238"/>
      <c r="V126" s="514"/>
      <c r="W126" s="234" t="s">
        <v>233</v>
      </c>
      <c r="X126" s="235"/>
      <c r="Y126" s="235"/>
      <c r="Z126" s="235"/>
      <c r="AA126" s="236">
        <f t="shared" si="20"/>
        <v>0</v>
      </c>
      <c r="AB126" s="238"/>
      <c r="AC126" s="514"/>
      <c r="AD126" s="234" t="s">
        <v>233</v>
      </c>
      <c r="AE126" s="235"/>
      <c r="AF126" s="235"/>
      <c r="AG126" s="235"/>
      <c r="AH126" s="236">
        <f t="shared" si="21"/>
        <v>0</v>
      </c>
      <c r="AI126" s="238"/>
      <c r="AK126" s="240"/>
    </row>
    <row r="127" spans="1:37" x14ac:dyDescent="0.2">
      <c r="A127" s="514"/>
      <c r="B127" s="234" t="s">
        <v>234</v>
      </c>
      <c r="C127" s="235">
        <f t="shared" si="25"/>
        <v>32.377567010309775</v>
      </c>
      <c r="D127" s="235">
        <f t="shared" si="22"/>
        <v>0.53962611683849626</v>
      </c>
      <c r="E127" s="245">
        <f t="shared" si="16"/>
        <v>0.85204123711341284</v>
      </c>
      <c r="F127" s="236">
        <f t="shared" si="17"/>
        <v>1.3916673539519091</v>
      </c>
      <c r="G127" s="238"/>
      <c r="H127" s="514"/>
      <c r="I127" s="234" t="s">
        <v>234</v>
      </c>
      <c r="J127" s="235">
        <f t="shared" si="26"/>
        <v>223.23762499999845</v>
      </c>
      <c r="K127" s="235">
        <f t="shared" si="23"/>
        <v>3.7206270833333073</v>
      </c>
      <c r="L127" s="235">
        <f t="shared" si="24"/>
        <v>5.7240416666666665</v>
      </c>
      <c r="M127" s="236">
        <f t="shared" si="18"/>
        <v>9.4446687499999733</v>
      </c>
      <c r="N127" s="238"/>
      <c r="O127" s="514"/>
      <c r="P127" s="234" t="s">
        <v>234</v>
      </c>
      <c r="Q127" s="235">
        <f t="shared" si="29"/>
        <v>703.60109999999827</v>
      </c>
      <c r="R127" s="235">
        <f t="shared" si="27"/>
        <v>11.726684999999973</v>
      </c>
      <c r="S127" s="235">
        <f t="shared" si="28"/>
        <v>13.796099999999999</v>
      </c>
      <c r="T127" s="236">
        <f t="shared" si="19"/>
        <v>25.522784999999971</v>
      </c>
      <c r="U127" s="238"/>
      <c r="V127" s="514"/>
      <c r="W127" s="234" t="s">
        <v>234</v>
      </c>
      <c r="X127" s="235"/>
      <c r="Y127" s="235"/>
      <c r="Z127" s="235"/>
      <c r="AA127" s="236">
        <f t="shared" si="20"/>
        <v>0</v>
      </c>
      <c r="AB127" s="238"/>
      <c r="AC127" s="514"/>
      <c r="AD127" s="234" t="s">
        <v>234</v>
      </c>
      <c r="AE127" s="235"/>
      <c r="AF127" s="235"/>
      <c r="AG127" s="235"/>
      <c r="AH127" s="236">
        <f t="shared" si="21"/>
        <v>0</v>
      </c>
      <c r="AI127" s="238"/>
      <c r="AK127" s="240"/>
    </row>
    <row r="128" spans="1:37" x14ac:dyDescent="0.2">
      <c r="A128" s="514"/>
      <c r="B128" s="234" t="s">
        <v>235</v>
      </c>
      <c r="C128" s="235">
        <f t="shared" si="25"/>
        <v>31.525525773196364</v>
      </c>
      <c r="D128" s="235">
        <f t="shared" si="22"/>
        <v>0.52542542955327276</v>
      </c>
      <c r="E128" s="245">
        <f t="shared" si="16"/>
        <v>0.85204123711341284</v>
      </c>
      <c r="F128" s="236">
        <f t="shared" si="17"/>
        <v>1.3774666666666855</v>
      </c>
      <c r="G128" s="238"/>
      <c r="H128" s="514"/>
      <c r="I128" s="234" t="s">
        <v>235</v>
      </c>
      <c r="J128" s="235">
        <f t="shared" si="26"/>
        <v>217.51358333333178</v>
      </c>
      <c r="K128" s="235">
        <f t="shared" si="23"/>
        <v>3.6252263888888634</v>
      </c>
      <c r="L128" s="235">
        <f t="shared" si="24"/>
        <v>5.7240416666666665</v>
      </c>
      <c r="M128" s="236">
        <f t="shared" si="18"/>
        <v>9.3492680555555303</v>
      </c>
      <c r="N128" s="238"/>
      <c r="O128" s="514"/>
      <c r="P128" s="234" t="s">
        <v>235</v>
      </c>
      <c r="Q128" s="235">
        <f t="shared" si="29"/>
        <v>689.80499999999824</v>
      </c>
      <c r="R128" s="235">
        <f t="shared" si="27"/>
        <v>11.49674999999997</v>
      </c>
      <c r="S128" s="235">
        <f t="shared" si="28"/>
        <v>13.796099999999999</v>
      </c>
      <c r="T128" s="236">
        <f t="shared" si="19"/>
        <v>25.292849999999969</v>
      </c>
      <c r="U128" s="238"/>
      <c r="V128" s="514"/>
      <c r="W128" s="234" t="s">
        <v>235</v>
      </c>
      <c r="X128" s="235"/>
      <c r="Y128" s="235"/>
      <c r="Z128" s="235"/>
      <c r="AA128" s="236">
        <f t="shared" si="20"/>
        <v>0</v>
      </c>
      <c r="AB128" s="238"/>
      <c r="AC128" s="514"/>
      <c r="AD128" s="234" t="s">
        <v>235</v>
      </c>
      <c r="AE128" s="235"/>
      <c r="AF128" s="235"/>
      <c r="AG128" s="235"/>
      <c r="AH128" s="236">
        <f t="shared" si="21"/>
        <v>0</v>
      </c>
      <c r="AI128" s="238"/>
      <c r="AK128" s="240"/>
    </row>
    <row r="129" spans="1:37" x14ac:dyDescent="0.2">
      <c r="A129" s="515"/>
      <c r="B129" s="234" t="s">
        <v>236</v>
      </c>
      <c r="C129" s="235">
        <f t="shared" si="25"/>
        <v>30.673484536082952</v>
      </c>
      <c r="D129" s="235">
        <f t="shared" si="22"/>
        <v>0.51122474226804926</v>
      </c>
      <c r="E129" s="245">
        <f t="shared" si="16"/>
        <v>0.85204123711341284</v>
      </c>
      <c r="F129" s="236">
        <f t="shared" si="17"/>
        <v>1.3632659793814621</v>
      </c>
      <c r="G129" s="239">
        <f>SUM(D118:D129)</f>
        <v>7.0719422680413428</v>
      </c>
      <c r="H129" s="515"/>
      <c r="I129" s="234" t="s">
        <v>236</v>
      </c>
      <c r="J129" s="235">
        <f t="shared" si="26"/>
        <v>211.78954166666512</v>
      </c>
      <c r="K129" s="235">
        <f t="shared" si="23"/>
        <v>3.5298256944444191</v>
      </c>
      <c r="L129" s="235">
        <f t="shared" si="24"/>
        <v>5.7240416666666665</v>
      </c>
      <c r="M129" s="236">
        <f t="shared" si="18"/>
        <v>9.2538673611110855</v>
      </c>
      <c r="N129" s="238">
        <f>SUM(K118:K129)</f>
        <v>48.654354166666359</v>
      </c>
      <c r="O129" s="515"/>
      <c r="P129" s="234" t="s">
        <v>236</v>
      </c>
      <c r="Q129" s="235">
        <f t="shared" si="29"/>
        <v>676.00889999999822</v>
      </c>
      <c r="R129" s="235">
        <f t="shared" si="27"/>
        <v>11.266814999999971</v>
      </c>
      <c r="S129" s="235">
        <f t="shared" si="28"/>
        <v>13.796099999999999</v>
      </c>
      <c r="T129" s="236">
        <f t="shared" si="19"/>
        <v>25.062914999999968</v>
      </c>
      <c r="U129" s="238">
        <f>SUM(R118:R129)</f>
        <v>150.37748999999968</v>
      </c>
      <c r="V129" s="515"/>
      <c r="W129" s="234" t="s">
        <v>236</v>
      </c>
      <c r="X129" s="235"/>
      <c r="Y129" s="235"/>
      <c r="Z129" s="235"/>
      <c r="AA129" s="236">
        <f t="shared" si="20"/>
        <v>0</v>
      </c>
      <c r="AB129" s="238">
        <f>SUM(Y118:Y129)</f>
        <v>0</v>
      </c>
      <c r="AC129" s="515"/>
      <c r="AD129" s="234" t="s">
        <v>236</v>
      </c>
      <c r="AE129" s="235"/>
      <c r="AF129" s="235"/>
      <c r="AG129" s="235"/>
      <c r="AH129" s="236">
        <f t="shared" si="21"/>
        <v>0</v>
      </c>
      <c r="AI129" s="238">
        <f>SUM(AF118:AF129)</f>
        <v>0</v>
      </c>
      <c r="AJ129" s="208">
        <f>AJ117+1</f>
        <v>2031</v>
      </c>
      <c r="AK129" s="240">
        <f>G129+N129+U129+AB129+AI129</f>
        <v>206.10378643470739</v>
      </c>
    </row>
    <row r="130" spans="1:37" x14ac:dyDescent="0.2">
      <c r="A130" s="513">
        <f>A118+1</f>
        <v>2032</v>
      </c>
      <c r="B130" s="234" t="s">
        <v>225</v>
      </c>
      <c r="C130" s="235">
        <f t="shared" si="25"/>
        <v>29.821443298969541</v>
      </c>
      <c r="D130" s="235">
        <f t="shared" si="22"/>
        <v>0.4970240549828257</v>
      </c>
      <c r="E130" s="245">
        <f t="shared" si="16"/>
        <v>0.85204123711341284</v>
      </c>
      <c r="F130" s="236">
        <f>D130+E130</f>
        <v>1.3490652920962385</v>
      </c>
      <c r="G130" s="239"/>
      <c r="H130" s="512">
        <f>H118+1</f>
        <v>2032</v>
      </c>
      <c r="I130" s="234" t="s">
        <v>225</v>
      </c>
      <c r="J130" s="235">
        <f t="shared" si="26"/>
        <v>206.06549999999845</v>
      </c>
      <c r="K130" s="235">
        <f t="shared" si="23"/>
        <v>3.4344249999999743</v>
      </c>
      <c r="L130" s="235">
        <f t="shared" si="24"/>
        <v>5.7240416666666665</v>
      </c>
      <c r="M130" s="236">
        <f t="shared" si="18"/>
        <v>9.1584666666666408</v>
      </c>
      <c r="N130" s="237"/>
      <c r="O130" s="519">
        <f>O118+1</f>
        <v>2032</v>
      </c>
      <c r="P130" s="234" t="s">
        <v>225</v>
      </c>
      <c r="Q130" s="235">
        <f t="shared" si="29"/>
        <v>662.2127999999982</v>
      </c>
      <c r="R130" s="235">
        <f t="shared" si="27"/>
        <v>11.03687999999997</v>
      </c>
      <c r="S130" s="235">
        <f t="shared" si="28"/>
        <v>13.796099999999999</v>
      </c>
      <c r="T130" s="247">
        <f t="shared" si="19"/>
        <v>24.832979999999971</v>
      </c>
      <c r="U130" s="237"/>
      <c r="V130" s="519">
        <f>V118+1</f>
        <v>2031</v>
      </c>
      <c r="W130" s="234" t="s">
        <v>225</v>
      </c>
      <c r="X130" s="235"/>
      <c r="Y130" s="235"/>
      <c r="Z130" s="235"/>
      <c r="AA130" s="247">
        <f t="shared" si="20"/>
        <v>0</v>
      </c>
      <c r="AB130" s="237"/>
      <c r="AC130" s="519">
        <f>AC118+1</f>
        <v>2031</v>
      </c>
      <c r="AD130" s="234" t="s">
        <v>225</v>
      </c>
      <c r="AE130" s="235"/>
      <c r="AF130" s="235"/>
      <c r="AG130" s="235"/>
      <c r="AH130" s="247">
        <f t="shared" si="21"/>
        <v>0</v>
      </c>
      <c r="AI130" s="237"/>
      <c r="AK130" s="240"/>
    </row>
    <row r="131" spans="1:37" x14ac:dyDescent="0.2">
      <c r="A131" s="514"/>
      <c r="B131" s="234" t="s">
        <v>226</v>
      </c>
      <c r="C131" s="235">
        <f t="shared" si="25"/>
        <v>28.96940206185613</v>
      </c>
      <c r="D131" s="235">
        <f t="shared" si="22"/>
        <v>0.4828233676976022</v>
      </c>
      <c r="E131" s="245">
        <f>$C$68/($D$8-23)</f>
        <v>0.85204123711341284</v>
      </c>
      <c r="F131" s="236">
        <f>D131+E131</f>
        <v>1.3348646048110151</v>
      </c>
      <c r="G131" s="239"/>
      <c r="H131" s="512"/>
      <c r="I131" s="234" t="s">
        <v>226</v>
      </c>
      <c r="J131" s="235">
        <f t="shared" si="26"/>
        <v>200.34145833333179</v>
      </c>
      <c r="K131" s="235">
        <f t="shared" si="23"/>
        <v>3.33902430555553</v>
      </c>
      <c r="L131" s="235">
        <f t="shared" si="24"/>
        <v>5.7240416666666665</v>
      </c>
      <c r="M131" s="247">
        <f t="shared" si="18"/>
        <v>9.063065972222196</v>
      </c>
      <c r="N131" s="238"/>
      <c r="O131" s="520"/>
      <c r="P131" s="234" t="s">
        <v>226</v>
      </c>
      <c r="Q131" s="235">
        <f t="shared" si="29"/>
        <v>648.41669999999817</v>
      </c>
      <c r="R131" s="235">
        <f t="shared" si="27"/>
        <v>10.80694499999997</v>
      </c>
      <c r="S131" s="235">
        <f t="shared" si="28"/>
        <v>13.796099999999999</v>
      </c>
      <c r="T131" s="247">
        <f t="shared" si="19"/>
        <v>24.60304499999997</v>
      </c>
      <c r="U131" s="238"/>
      <c r="V131" s="520"/>
      <c r="W131" s="234" t="s">
        <v>226</v>
      </c>
      <c r="X131" s="235"/>
      <c r="Y131" s="235"/>
      <c r="Z131" s="235"/>
      <c r="AA131" s="247">
        <f t="shared" si="20"/>
        <v>0</v>
      </c>
      <c r="AB131" s="238"/>
      <c r="AC131" s="520"/>
      <c r="AD131" s="234" t="s">
        <v>226</v>
      </c>
      <c r="AE131" s="235"/>
      <c r="AF131" s="235"/>
      <c r="AG131" s="235"/>
      <c r="AH131" s="247">
        <f t="shared" si="21"/>
        <v>0</v>
      </c>
      <c r="AI131" s="238"/>
      <c r="AK131" s="240"/>
    </row>
    <row r="132" spans="1:37" x14ac:dyDescent="0.2">
      <c r="A132" s="514"/>
      <c r="B132" s="234" t="s">
        <v>227</v>
      </c>
      <c r="C132" s="235">
        <f t="shared" si="25"/>
        <v>28.117360824742718</v>
      </c>
      <c r="D132" s="235">
        <f t="shared" si="22"/>
        <v>0.4686226804123787</v>
      </c>
      <c r="E132" s="245">
        <f t="shared" si="16"/>
        <v>0.85204123711341284</v>
      </c>
      <c r="F132" s="236">
        <f>D132+E132</f>
        <v>1.3206639175257915</v>
      </c>
      <c r="G132" s="239"/>
      <c r="H132" s="512"/>
      <c r="I132" s="234" t="s">
        <v>227</v>
      </c>
      <c r="J132" s="235">
        <f t="shared" si="26"/>
        <v>194.61741666666512</v>
      </c>
      <c r="K132" s="235">
        <f t="shared" si="23"/>
        <v>3.2436236111110852</v>
      </c>
      <c r="L132" s="235">
        <f t="shared" si="24"/>
        <v>5.7240416666666665</v>
      </c>
      <c r="M132" s="247">
        <f t="shared" si="18"/>
        <v>8.9676652777777512</v>
      </c>
      <c r="N132" s="238"/>
      <c r="O132" s="520"/>
      <c r="P132" s="234" t="s">
        <v>227</v>
      </c>
      <c r="Q132" s="235">
        <f t="shared" si="29"/>
        <v>634.62059999999815</v>
      </c>
      <c r="R132" s="235">
        <f t="shared" si="27"/>
        <v>10.577009999999969</v>
      </c>
      <c r="S132" s="235">
        <f t="shared" si="28"/>
        <v>13.796099999999999</v>
      </c>
      <c r="T132" s="247">
        <f t="shared" si="19"/>
        <v>24.373109999999969</v>
      </c>
      <c r="U132" s="238"/>
      <c r="V132" s="520"/>
      <c r="W132" s="234" t="s">
        <v>227</v>
      </c>
      <c r="X132" s="235"/>
      <c r="Y132" s="235"/>
      <c r="Z132" s="235"/>
      <c r="AA132" s="247">
        <f t="shared" si="20"/>
        <v>0</v>
      </c>
      <c r="AB132" s="238"/>
      <c r="AC132" s="520"/>
      <c r="AD132" s="234" t="s">
        <v>227</v>
      </c>
      <c r="AE132" s="235"/>
      <c r="AF132" s="235"/>
      <c r="AG132" s="235"/>
      <c r="AH132" s="247">
        <f t="shared" si="21"/>
        <v>0</v>
      </c>
      <c r="AI132" s="238"/>
      <c r="AK132" s="240"/>
    </row>
    <row r="133" spans="1:37" x14ac:dyDescent="0.2">
      <c r="A133" s="514"/>
      <c r="B133" s="234" t="s">
        <v>228</v>
      </c>
      <c r="C133" s="235">
        <f t="shared" si="25"/>
        <v>27.265319587629307</v>
      </c>
      <c r="D133" s="235">
        <f t="shared" si="22"/>
        <v>0.45442199312715514</v>
      </c>
      <c r="E133" s="245">
        <f t="shared" ref="E133:E164" si="30">$C$68/($D$8-23)</f>
        <v>0.85204123711341284</v>
      </c>
      <c r="F133" s="236">
        <f>D133+E133</f>
        <v>1.3064632302405679</v>
      </c>
      <c r="G133" s="239"/>
      <c r="H133" s="512"/>
      <c r="I133" s="234" t="s">
        <v>228</v>
      </c>
      <c r="J133" s="235">
        <f t="shared" si="26"/>
        <v>188.89337499999846</v>
      </c>
      <c r="K133" s="235">
        <f t="shared" si="23"/>
        <v>3.1482229166666413</v>
      </c>
      <c r="L133" s="235">
        <f t="shared" si="24"/>
        <v>5.7240416666666665</v>
      </c>
      <c r="M133" s="247">
        <f t="shared" si="18"/>
        <v>8.8722645833333083</v>
      </c>
      <c r="N133" s="238"/>
      <c r="O133" s="520"/>
      <c r="P133" s="234" t="s">
        <v>228</v>
      </c>
      <c r="Q133" s="235">
        <f t="shared" si="29"/>
        <v>620.82449999999812</v>
      </c>
      <c r="R133" s="235">
        <f t="shared" si="27"/>
        <v>10.34707499999997</v>
      </c>
      <c r="S133" s="235">
        <f t="shared" si="28"/>
        <v>13.796099999999999</v>
      </c>
      <c r="T133" s="247">
        <f t="shared" si="19"/>
        <v>24.143174999999971</v>
      </c>
      <c r="U133" s="238"/>
      <c r="V133" s="520"/>
      <c r="W133" s="234" t="s">
        <v>228</v>
      </c>
      <c r="X133" s="235"/>
      <c r="Y133" s="235"/>
      <c r="Z133" s="235"/>
      <c r="AA133" s="247">
        <f t="shared" si="20"/>
        <v>0</v>
      </c>
      <c r="AB133" s="238"/>
      <c r="AC133" s="520"/>
      <c r="AD133" s="234" t="s">
        <v>228</v>
      </c>
      <c r="AE133" s="235"/>
      <c r="AF133" s="235"/>
      <c r="AG133" s="235"/>
      <c r="AH133" s="247">
        <f t="shared" si="21"/>
        <v>0</v>
      </c>
      <c r="AI133" s="238"/>
      <c r="AK133" s="240"/>
    </row>
    <row r="134" spans="1:37" x14ac:dyDescent="0.2">
      <c r="A134" s="514"/>
      <c r="B134" s="234" t="s">
        <v>229</v>
      </c>
      <c r="C134" s="235">
        <f t="shared" si="25"/>
        <v>26.413278350515895</v>
      </c>
      <c r="D134" s="235">
        <f t="shared" si="22"/>
        <v>0.44022130584193159</v>
      </c>
      <c r="E134" s="245">
        <f t="shared" si="30"/>
        <v>0.85204123711341284</v>
      </c>
      <c r="F134" s="236">
        <f>D134+E134</f>
        <v>1.2922625429553445</v>
      </c>
      <c r="G134" s="239"/>
      <c r="H134" s="512"/>
      <c r="I134" s="234" t="s">
        <v>229</v>
      </c>
      <c r="J134" s="235">
        <f t="shared" si="26"/>
        <v>183.16933333333179</v>
      </c>
      <c r="K134" s="235">
        <f t="shared" si="23"/>
        <v>3.0528222222221966</v>
      </c>
      <c r="L134" s="235">
        <f t="shared" si="24"/>
        <v>5.7240416666666665</v>
      </c>
      <c r="M134" s="247">
        <f t="shared" si="18"/>
        <v>8.7768638888888635</v>
      </c>
      <c r="N134" s="238"/>
      <c r="O134" s="520"/>
      <c r="P134" s="234" t="s">
        <v>229</v>
      </c>
      <c r="Q134" s="235">
        <f t="shared" si="29"/>
        <v>607.0283999999981</v>
      </c>
      <c r="R134" s="235">
        <f t="shared" si="27"/>
        <v>10.117139999999969</v>
      </c>
      <c r="S134" s="235">
        <f t="shared" si="28"/>
        <v>13.796099999999999</v>
      </c>
      <c r="T134" s="247">
        <f t="shared" si="19"/>
        <v>23.913239999999966</v>
      </c>
      <c r="U134" s="238"/>
      <c r="V134" s="520"/>
      <c r="W134" s="234" t="s">
        <v>229</v>
      </c>
      <c r="X134" s="235"/>
      <c r="Y134" s="235"/>
      <c r="Z134" s="235"/>
      <c r="AA134" s="247">
        <f t="shared" si="20"/>
        <v>0</v>
      </c>
      <c r="AB134" s="238"/>
      <c r="AC134" s="520"/>
      <c r="AD134" s="234" t="s">
        <v>229</v>
      </c>
      <c r="AE134" s="235"/>
      <c r="AF134" s="235"/>
      <c r="AG134" s="235"/>
      <c r="AH134" s="247">
        <f t="shared" si="21"/>
        <v>0</v>
      </c>
      <c r="AI134" s="238"/>
      <c r="AK134" s="240"/>
    </row>
    <row r="135" spans="1:37" x14ac:dyDescent="0.2">
      <c r="A135" s="514"/>
      <c r="B135" s="234" t="s">
        <v>230</v>
      </c>
      <c r="C135" s="235">
        <f t="shared" si="25"/>
        <v>25.561237113402484</v>
      </c>
      <c r="D135" s="235">
        <f t="shared" si="22"/>
        <v>0.42602061855670809</v>
      </c>
      <c r="E135" s="245">
        <f t="shared" si="30"/>
        <v>0.85204123711341284</v>
      </c>
      <c r="F135" s="236">
        <f t="shared" ref="F135:F140" si="31">D135+E135</f>
        <v>1.2780618556701209</v>
      </c>
      <c r="G135" s="239"/>
      <c r="H135" s="512"/>
      <c r="I135" s="234" t="s">
        <v>230</v>
      </c>
      <c r="J135" s="235">
        <f t="shared" si="26"/>
        <v>177.44529166666513</v>
      </c>
      <c r="K135" s="235">
        <f t="shared" si="23"/>
        <v>2.9574215277777522</v>
      </c>
      <c r="L135" s="235">
        <f t="shared" si="24"/>
        <v>5.7240416666666665</v>
      </c>
      <c r="M135" s="247">
        <f t="shared" si="18"/>
        <v>8.6814631944444187</v>
      </c>
      <c r="N135" s="238"/>
      <c r="O135" s="520"/>
      <c r="P135" s="234" t="s">
        <v>230</v>
      </c>
      <c r="Q135" s="235">
        <f t="shared" si="29"/>
        <v>593.23229999999808</v>
      </c>
      <c r="R135" s="235">
        <f t="shared" si="27"/>
        <v>9.8872049999999678</v>
      </c>
      <c r="S135" s="235">
        <f t="shared" si="28"/>
        <v>13.796099999999999</v>
      </c>
      <c r="T135" s="247">
        <f t="shared" si="19"/>
        <v>23.683304999999969</v>
      </c>
      <c r="U135" s="238"/>
      <c r="V135" s="520"/>
      <c r="W135" s="234" t="s">
        <v>230</v>
      </c>
      <c r="X135" s="235"/>
      <c r="Y135" s="235"/>
      <c r="Z135" s="235"/>
      <c r="AA135" s="247">
        <f t="shared" si="20"/>
        <v>0</v>
      </c>
      <c r="AB135" s="238"/>
      <c r="AC135" s="520"/>
      <c r="AD135" s="234" t="s">
        <v>230</v>
      </c>
      <c r="AE135" s="235"/>
      <c r="AF135" s="235"/>
      <c r="AG135" s="235"/>
      <c r="AH135" s="247">
        <f t="shared" si="21"/>
        <v>0</v>
      </c>
      <c r="AI135" s="238"/>
      <c r="AK135" s="240"/>
    </row>
    <row r="136" spans="1:37" x14ac:dyDescent="0.2">
      <c r="A136" s="514"/>
      <c r="B136" s="234" t="s">
        <v>231</v>
      </c>
      <c r="C136" s="235">
        <f t="shared" si="25"/>
        <v>24.709195876289073</v>
      </c>
      <c r="D136" s="235">
        <f t="shared" si="22"/>
        <v>0.41181993127148459</v>
      </c>
      <c r="E136" s="245">
        <f t="shared" si="30"/>
        <v>0.85204123711341284</v>
      </c>
      <c r="F136" s="236">
        <f t="shared" si="31"/>
        <v>1.2638611683848975</v>
      </c>
      <c r="G136" s="239"/>
      <c r="H136" s="512"/>
      <c r="I136" s="234" t="s">
        <v>231</v>
      </c>
      <c r="J136" s="235">
        <f t="shared" si="26"/>
        <v>171.72124999999846</v>
      </c>
      <c r="K136" s="235">
        <f t="shared" si="23"/>
        <v>2.8620208333333079</v>
      </c>
      <c r="L136" s="235">
        <f t="shared" si="24"/>
        <v>5.7240416666666665</v>
      </c>
      <c r="M136" s="247">
        <f t="shared" si="18"/>
        <v>8.586062499999974</v>
      </c>
      <c r="N136" s="238"/>
      <c r="O136" s="520"/>
      <c r="P136" s="234" t="s">
        <v>231</v>
      </c>
      <c r="Q136" s="235">
        <f t="shared" si="29"/>
        <v>579.43619999999805</v>
      </c>
      <c r="R136" s="235">
        <f t="shared" si="27"/>
        <v>9.6572699999999685</v>
      </c>
      <c r="S136" s="235">
        <f t="shared" si="28"/>
        <v>13.796099999999999</v>
      </c>
      <c r="T136" s="247">
        <f t="shared" si="19"/>
        <v>23.453369999999968</v>
      </c>
      <c r="U136" s="238"/>
      <c r="V136" s="520"/>
      <c r="W136" s="234" t="s">
        <v>231</v>
      </c>
      <c r="X136" s="235"/>
      <c r="Y136" s="235"/>
      <c r="Z136" s="235"/>
      <c r="AA136" s="247">
        <f t="shared" si="20"/>
        <v>0</v>
      </c>
      <c r="AB136" s="238"/>
      <c r="AC136" s="520"/>
      <c r="AD136" s="234" t="s">
        <v>231</v>
      </c>
      <c r="AE136" s="235"/>
      <c r="AF136" s="235"/>
      <c r="AG136" s="235"/>
      <c r="AH136" s="247">
        <f t="shared" si="21"/>
        <v>0</v>
      </c>
      <c r="AI136" s="238"/>
      <c r="AK136" s="240"/>
    </row>
    <row r="137" spans="1:37" x14ac:dyDescent="0.2">
      <c r="A137" s="514"/>
      <c r="B137" s="234" t="s">
        <v>232</v>
      </c>
      <c r="C137" s="235">
        <f t="shared" si="25"/>
        <v>23.857154639175661</v>
      </c>
      <c r="D137" s="235">
        <f t="shared" si="22"/>
        <v>0.39761924398626108</v>
      </c>
      <c r="E137" s="245">
        <f t="shared" si="30"/>
        <v>0.85204123711341284</v>
      </c>
      <c r="F137" s="236">
        <f t="shared" si="31"/>
        <v>1.2496604810996739</v>
      </c>
      <c r="G137" s="239"/>
      <c r="H137" s="512"/>
      <c r="I137" s="234" t="s">
        <v>232</v>
      </c>
      <c r="J137" s="235">
        <f t="shared" si="26"/>
        <v>165.9972083333318</v>
      </c>
      <c r="K137" s="235">
        <f t="shared" si="23"/>
        <v>2.7666201388888632</v>
      </c>
      <c r="L137" s="235">
        <f t="shared" si="24"/>
        <v>5.7240416666666665</v>
      </c>
      <c r="M137" s="247">
        <f t="shared" si="18"/>
        <v>8.4906618055555292</v>
      </c>
      <c r="N137" s="238"/>
      <c r="O137" s="520"/>
      <c r="P137" s="234" t="s">
        <v>232</v>
      </c>
      <c r="Q137" s="235">
        <f t="shared" si="29"/>
        <v>565.64009999999803</v>
      </c>
      <c r="R137" s="235">
        <f t="shared" si="27"/>
        <v>9.4273349999999674</v>
      </c>
      <c r="S137" s="235">
        <f t="shared" si="28"/>
        <v>13.796099999999999</v>
      </c>
      <c r="T137" s="247">
        <f t="shared" si="19"/>
        <v>23.223434999999967</v>
      </c>
      <c r="U137" s="238"/>
      <c r="V137" s="520"/>
      <c r="W137" s="234" t="s">
        <v>232</v>
      </c>
      <c r="X137" s="235"/>
      <c r="Y137" s="235"/>
      <c r="Z137" s="235"/>
      <c r="AA137" s="247">
        <f t="shared" si="20"/>
        <v>0</v>
      </c>
      <c r="AB137" s="238"/>
      <c r="AC137" s="520"/>
      <c r="AD137" s="234" t="s">
        <v>232</v>
      </c>
      <c r="AE137" s="235"/>
      <c r="AF137" s="235"/>
      <c r="AG137" s="235"/>
      <c r="AH137" s="247">
        <f t="shared" si="21"/>
        <v>0</v>
      </c>
      <c r="AI137" s="238"/>
      <c r="AK137" s="240"/>
    </row>
    <row r="138" spans="1:37" x14ac:dyDescent="0.2">
      <c r="A138" s="514"/>
      <c r="B138" s="234" t="s">
        <v>233</v>
      </c>
      <c r="C138" s="235">
        <f t="shared" si="25"/>
        <v>23.00511340206225</v>
      </c>
      <c r="D138" s="235">
        <f t="shared" si="22"/>
        <v>0.38341855670103753</v>
      </c>
      <c r="E138" s="245">
        <f t="shared" si="30"/>
        <v>0.85204123711341284</v>
      </c>
      <c r="F138" s="236">
        <f t="shared" si="31"/>
        <v>1.2354597938144503</v>
      </c>
      <c r="G138" s="239"/>
      <c r="H138" s="512"/>
      <c r="I138" s="234" t="s">
        <v>233</v>
      </c>
      <c r="J138" s="235">
        <f t="shared" si="26"/>
        <v>160.27316666666513</v>
      </c>
      <c r="K138" s="235">
        <f t="shared" si="23"/>
        <v>2.6712194444444193</v>
      </c>
      <c r="L138" s="235">
        <f t="shared" si="24"/>
        <v>5.7240416666666665</v>
      </c>
      <c r="M138" s="247">
        <f t="shared" si="18"/>
        <v>8.3952611111110862</v>
      </c>
      <c r="N138" s="238"/>
      <c r="O138" s="520"/>
      <c r="P138" s="234" t="s">
        <v>233</v>
      </c>
      <c r="Q138" s="235">
        <f t="shared" si="29"/>
        <v>551.843999999998</v>
      </c>
      <c r="R138" s="235">
        <f t="shared" si="27"/>
        <v>9.197399999999968</v>
      </c>
      <c r="S138" s="235">
        <f t="shared" si="28"/>
        <v>13.796099999999999</v>
      </c>
      <c r="T138" s="247">
        <f t="shared" si="19"/>
        <v>22.993499999999969</v>
      </c>
      <c r="U138" s="238"/>
      <c r="V138" s="520"/>
      <c r="W138" s="234" t="s">
        <v>233</v>
      </c>
      <c r="X138" s="235"/>
      <c r="Y138" s="235"/>
      <c r="Z138" s="235"/>
      <c r="AA138" s="247">
        <f t="shared" si="20"/>
        <v>0</v>
      </c>
      <c r="AB138" s="238"/>
      <c r="AC138" s="520"/>
      <c r="AD138" s="234" t="s">
        <v>233</v>
      </c>
      <c r="AE138" s="235"/>
      <c r="AF138" s="235"/>
      <c r="AG138" s="235"/>
      <c r="AH138" s="247">
        <f t="shared" si="21"/>
        <v>0</v>
      </c>
      <c r="AI138" s="238"/>
      <c r="AK138" s="240"/>
    </row>
    <row r="139" spans="1:37" x14ac:dyDescent="0.2">
      <c r="A139" s="514"/>
      <c r="B139" s="234" t="s">
        <v>234</v>
      </c>
      <c r="C139" s="235">
        <f t="shared" si="25"/>
        <v>22.153072164948838</v>
      </c>
      <c r="D139" s="235">
        <f t="shared" si="22"/>
        <v>0.36921786941581397</v>
      </c>
      <c r="E139" s="245">
        <f t="shared" si="30"/>
        <v>0.85204123711341284</v>
      </c>
      <c r="F139" s="236">
        <f t="shared" si="31"/>
        <v>1.2212591065292269</v>
      </c>
      <c r="G139" s="239"/>
      <c r="H139" s="512"/>
      <c r="I139" s="234" t="s">
        <v>234</v>
      </c>
      <c r="J139" s="235">
        <f t="shared" si="26"/>
        <v>154.54912499999847</v>
      </c>
      <c r="K139" s="235">
        <f t="shared" si="23"/>
        <v>2.5758187499999745</v>
      </c>
      <c r="L139" s="235">
        <f t="shared" si="24"/>
        <v>5.7240416666666665</v>
      </c>
      <c r="M139" s="247">
        <f t="shared" si="18"/>
        <v>8.2998604166666414</v>
      </c>
      <c r="N139" s="238"/>
      <c r="O139" s="520"/>
      <c r="P139" s="234" t="s">
        <v>234</v>
      </c>
      <c r="Q139" s="235">
        <f t="shared" si="29"/>
        <v>538.04789999999798</v>
      </c>
      <c r="R139" s="235">
        <f t="shared" si="27"/>
        <v>8.9674649999999669</v>
      </c>
      <c r="S139" s="235">
        <f t="shared" si="28"/>
        <v>13.796099999999999</v>
      </c>
      <c r="T139" s="247">
        <f t="shared" si="19"/>
        <v>22.763564999999964</v>
      </c>
      <c r="U139" s="238"/>
      <c r="V139" s="520"/>
      <c r="W139" s="234" t="s">
        <v>234</v>
      </c>
      <c r="X139" s="235"/>
      <c r="Y139" s="235"/>
      <c r="Z139" s="235"/>
      <c r="AA139" s="247">
        <f t="shared" si="20"/>
        <v>0</v>
      </c>
      <c r="AB139" s="238"/>
      <c r="AC139" s="520"/>
      <c r="AD139" s="234" t="s">
        <v>234</v>
      </c>
      <c r="AE139" s="235"/>
      <c r="AF139" s="235"/>
      <c r="AG139" s="235"/>
      <c r="AH139" s="247">
        <f t="shared" si="21"/>
        <v>0</v>
      </c>
      <c r="AI139" s="238"/>
      <c r="AK139" s="240"/>
    </row>
    <row r="140" spans="1:37" x14ac:dyDescent="0.2">
      <c r="A140" s="514"/>
      <c r="B140" s="234" t="s">
        <v>235</v>
      </c>
      <c r="C140" s="235">
        <f t="shared" si="25"/>
        <v>21.301030927835427</v>
      </c>
      <c r="D140" s="235">
        <f t="shared" si="22"/>
        <v>0.35501718213059047</v>
      </c>
      <c r="E140" s="245">
        <f t="shared" si="30"/>
        <v>0.85204123711341284</v>
      </c>
      <c r="F140" s="236">
        <f t="shared" si="31"/>
        <v>1.2070584192440033</v>
      </c>
      <c r="G140" s="239"/>
      <c r="H140" s="512"/>
      <c r="I140" s="234" t="s">
        <v>235</v>
      </c>
      <c r="J140" s="235">
        <f t="shared" si="26"/>
        <v>148.8250833333318</v>
      </c>
      <c r="K140" s="235">
        <f t="shared" si="23"/>
        <v>2.4804180555555302</v>
      </c>
      <c r="L140" s="235">
        <f t="shared" si="24"/>
        <v>5.7240416666666665</v>
      </c>
      <c r="M140" s="247">
        <f t="shared" si="18"/>
        <v>8.2044597222221967</v>
      </c>
      <c r="N140" s="238"/>
      <c r="O140" s="520"/>
      <c r="P140" s="234" t="s">
        <v>235</v>
      </c>
      <c r="Q140" s="235">
        <f t="shared" si="29"/>
        <v>524.25179999999796</v>
      </c>
      <c r="R140" s="235">
        <f t="shared" si="27"/>
        <v>8.7375299999999658</v>
      </c>
      <c r="S140" s="235">
        <f t="shared" si="28"/>
        <v>13.796099999999999</v>
      </c>
      <c r="T140" s="247">
        <f t="shared" si="19"/>
        <v>22.533629999999967</v>
      </c>
      <c r="U140" s="238"/>
      <c r="V140" s="520"/>
      <c r="W140" s="234" t="s">
        <v>235</v>
      </c>
      <c r="X140" s="235"/>
      <c r="Y140" s="235"/>
      <c r="Z140" s="235"/>
      <c r="AA140" s="247">
        <f t="shared" si="20"/>
        <v>0</v>
      </c>
      <c r="AB140" s="238"/>
      <c r="AC140" s="520"/>
      <c r="AD140" s="234" t="s">
        <v>235</v>
      </c>
      <c r="AE140" s="235"/>
      <c r="AF140" s="235"/>
      <c r="AG140" s="235"/>
      <c r="AH140" s="247">
        <f t="shared" si="21"/>
        <v>0</v>
      </c>
      <c r="AI140" s="238"/>
      <c r="AK140" s="240"/>
    </row>
    <row r="141" spans="1:37" x14ac:dyDescent="0.2">
      <c r="A141" s="515"/>
      <c r="B141" s="234" t="s">
        <v>236</v>
      </c>
      <c r="C141" s="235">
        <f t="shared" si="25"/>
        <v>20.448989690722016</v>
      </c>
      <c r="D141" s="235">
        <f t="shared" si="22"/>
        <v>0.34081649484536691</v>
      </c>
      <c r="E141" s="245">
        <f t="shared" si="30"/>
        <v>0.85204123711341284</v>
      </c>
      <c r="F141" s="236">
        <f>D141+E141</f>
        <v>1.1928577319587799</v>
      </c>
      <c r="G141" s="239">
        <f>SUM(D130:D141)</f>
        <v>5.027043298969156</v>
      </c>
      <c r="H141" s="512"/>
      <c r="I141" s="234" t="s">
        <v>236</v>
      </c>
      <c r="J141" s="235">
        <f t="shared" si="26"/>
        <v>143.10104166666514</v>
      </c>
      <c r="K141" s="235">
        <f t="shared" si="23"/>
        <v>2.3850173611110859</v>
      </c>
      <c r="L141" s="235">
        <f t="shared" si="24"/>
        <v>5.7240416666666665</v>
      </c>
      <c r="M141" s="247">
        <f t="shared" si="18"/>
        <v>8.1090590277777519</v>
      </c>
      <c r="N141" s="238">
        <f>SUM(K130:K141)</f>
        <v>34.916654166666362</v>
      </c>
      <c r="O141" s="521"/>
      <c r="P141" s="234" t="s">
        <v>236</v>
      </c>
      <c r="Q141" s="235">
        <f t="shared" si="29"/>
        <v>510.45569999999793</v>
      </c>
      <c r="R141" s="235">
        <f t="shared" si="27"/>
        <v>8.5075949999999665</v>
      </c>
      <c r="S141" s="235">
        <f t="shared" si="28"/>
        <v>13.796099999999999</v>
      </c>
      <c r="T141" s="247">
        <f t="shared" si="19"/>
        <v>22.303694999999966</v>
      </c>
      <c r="U141" s="238">
        <f>SUM(R130:R141)</f>
        <v>117.26684999999962</v>
      </c>
      <c r="V141" s="521"/>
      <c r="W141" s="234" t="s">
        <v>236</v>
      </c>
      <c r="X141" s="235"/>
      <c r="Y141" s="235"/>
      <c r="Z141" s="235"/>
      <c r="AA141" s="247">
        <f t="shared" si="20"/>
        <v>0</v>
      </c>
      <c r="AB141" s="238">
        <f>SUM(Y130:Y141)</f>
        <v>0</v>
      </c>
      <c r="AC141" s="521"/>
      <c r="AD141" s="234" t="s">
        <v>236</v>
      </c>
      <c r="AE141" s="235"/>
      <c r="AF141" s="235"/>
      <c r="AG141" s="235"/>
      <c r="AH141" s="247">
        <f t="shared" si="21"/>
        <v>0</v>
      </c>
      <c r="AI141" s="238">
        <f>SUM(AF130:AF141)</f>
        <v>0</v>
      </c>
      <c r="AJ141" s="208">
        <f>AJ129+1</f>
        <v>2032</v>
      </c>
      <c r="AK141" s="240">
        <f>G141+N141+U141+AB141+AI141</f>
        <v>157.21054746563513</v>
      </c>
    </row>
    <row r="142" spans="1:37" x14ac:dyDescent="0.2">
      <c r="A142" s="513">
        <f>A130+1</f>
        <v>2033</v>
      </c>
      <c r="B142" s="234" t="s">
        <v>225</v>
      </c>
      <c r="C142" s="235">
        <f t="shared" si="25"/>
        <v>19.596948453608604</v>
      </c>
      <c r="D142" s="235">
        <f t="shared" si="22"/>
        <v>0.32661580756014341</v>
      </c>
      <c r="E142" s="245">
        <f t="shared" si="30"/>
        <v>0.85204123711341284</v>
      </c>
      <c r="F142" s="236">
        <f t="shared" ref="F142:F152" si="32">D142+E142</f>
        <v>1.1786570446735563</v>
      </c>
      <c r="G142" s="239"/>
      <c r="H142" s="512">
        <f>H130+1</f>
        <v>2033</v>
      </c>
      <c r="I142" s="234" t="s">
        <v>225</v>
      </c>
      <c r="J142" s="235">
        <f t="shared" si="26"/>
        <v>137.37699999999847</v>
      </c>
      <c r="K142" s="235">
        <f t="shared" si="23"/>
        <v>2.2896166666666411</v>
      </c>
      <c r="L142" s="235">
        <f t="shared" si="24"/>
        <v>5.7240416666666665</v>
      </c>
      <c r="M142" s="247">
        <f t="shared" si="18"/>
        <v>8.0136583333333071</v>
      </c>
      <c r="N142" s="237"/>
      <c r="O142" s="519">
        <f>O130+1</f>
        <v>2033</v>
      </c>
      <c r="P142" s="234" t="s">
        <v>225</v>
      </c>
      <c r="Q142" s="235">
        <f t="shared" si="29"/>
        <v>496.65959999999791</v>
      </c>
      <c r="R142" s="235">
        <f t="shared" si="27"/>
        <v>8.2776599999999654</v>
      </c>
      <c r="S142" s="235">
        <f t="shared" si="28"/>
        <v>13.796099999999999</v>
      </c>
      <c r="T142" s="247">
        <f t="shared" si="19"/>
        <v>22.073759999999965</v>
      </c>
      <c r="U142" s="237"/>
      <c r="V142" s="519">
        <v>2032</v>
      </c>
      <c r="W142" s="234" t="s">
        <v>225</v>
      </c>
      <c r="X142" s="235"/>
      <c r="Y142" s="235"/>
      <c r="Z142" s="235"/>
      <c r="AA142" s="247">
        <f t="shared" si="20"/>
        <v>0</v>
      </c>
      <c r="AB142" s="237"/>
      <c r="AC142" s="519">
        <v>2032</v>
      </c>
      <c r="AD142" s="234" t="s">
        <v>225</v>
      </c>
      <c r="AE142" s="235"/>
      <c r="AF142" s="235"/>
      <c r="AG142" s="235"/>
      <c r="AH142" s="247">
        <f t="shared" si="21"/>
        <v>0</v>
      </c>
      <c r="AI142" s="237"/>
      <c r="AK142" s="240"/>
    </row>
    <row r="143" spans="1:37" x14ac:dyDescent="0.2">
      <c r="A143" s="514"/>
      <c r="B143" s="234" t="s">
        <v>226</v>
      </c>
      <c r="C143" s="235">
        <f t="shared" si="25"/>
        <v>18.744907216495193</v>
      </c>
      <c r="D143" s="235">
        <f t="shared" si="22"/>
        <v>0.31241512027491991</v>
      </c>
      <c r="E143" s="245">
        <f t="shared" si="30"/>
        <v>0.85204123711341284</v>
      </c>
      <c r="F143" s="236">
        <f t="shared" si="32"/>
        <v>1.1644563573883326</v>
      </c>
      <c r="G143" s="239"/>
      <c r="H143" s="512"/>
      <c r="I143" s="234" t="s">
        <v>226</v>
      </c>
      <c r="J143" s="235">
        <f t="shared" si="26"/>
        <v>131.65295833333181</v>
      </c>
      <c r="K143" s="235">
        <f t="shared" si="23"/>
        <v>2.1942159722221972</v>
      </c>
      <c r="L143" s="235">
        <f t="shared" si="24"/>
        <v>5.7240416666666665</v>
      </c>
      <c r="M143" s="247">
        <f t="shared" si="18"/>
        <v>7.9182576388888641</v>
      </c>
      <c r="N143" s="238"/>
      <c r="O143" s="520"/>
      <c r="P143" s="234" t="s">
        <v>226</v>
      </c>
      <c r="Q143" s="235">
        <f t="shared" si="29"/>
        <v>482.86349999999788</v>
      </c>
      <c r="R143" s="235">
        <f t="shared" si="27"/>
        <v>8.047724999999966</v>
      </c>
      <c r="S143" s="235">
        <f t="shared" si="28"/>
        <v>13.796099999999999</v>
      </c>
      <c r="T143" s="247">
        <f t="shared" si="19"/>
        <v>21.843824999999967</v>
      </c>
      <c r="U143" s="238"/>
      <c r="V143" s="520"/>
      <c r="W143" s="234" t="s">
        <v>226</v>
      </c>
      <c r="X143" s="235"/>
      <c r="Y143" s="235"/>
      <c r="Z143" s="235"/>
      <c r="AA143" s="247">
        <f t="shared" si="20"/>
        <v>0</v>
      </c>
      <c r="AB143" s="238"/>
      <c r="AC143" s="520"/>
      <c r="AD143" s="234" t="s">
        <v>226</v>
      </c>
      <c r="AE143" s="235"/>
      <c r="AF143" s="235"/>
      <c r="AG143" s="235"/>
      <c r="AH143" s="247">
        <f t="shared" si="21"/>
        <v>0</v>
      </c>
      <c r="AI143" s="238"/>
      <c r="AK143" s="240"/>
    </row>
    <row r="144" spans="1:37" x14ac:dyDescent="0.2">
      <c r="A144" s="514"/>
      <c r="B144" s="234" t="s">
        <v>227</v>
      </c>
      <c r="C144" s="235">
        <f t="shared" si="25"/>
        <v>17.892865979381781</v>
      </c>
      <c r="D144" s="235">
        <f t="shared" si="22"/>
        <v>0.29821443298969635</v>
      </c>
      <c r="E144" s="245">
        <f t="shared" si="30"/>
        <v>0.85204123711341284</v>
      </c>
      <c r="F144" s="236">
        <f t="shared" si="32"/>
        <v>1.1502556701031093</v>
      </c>
      <c r="G144" s="239"/>
      <c r="H144" s="512"/>
      <c r="I144" s="234" t="s">
        <v>227</v>
      </c>
      <c r="J144" s="235">
        <f t="shared" si="26"/>
        <v>125.92891666666515</v>
      </c>
      <c r="K144" s="235">
        <f t="shared" si="23"/>
        <v>2.0988152777777525</v>
      </c>
      <c r="L144" s="235">
        <f t="shared" si="24"/>
        <v>5.7240416666666665</v>
      </c>
      <c r="M144" s="247">
        <f t="shared" si="18"/>
        <v>7.8228569444444194</v>
      </c>
      <c r="N144" s="238"/>
      <c r="O144" s="520"/>
      <c r="P144" s="234" t="s">
        <v>227</v>
      </c>
      <c r="Q144" s="235">
        <f t="shared" si="29"/>
        <v>469.06739999999786</v>
      </c>
      <c r="R144" s="235">
        <f t="shared" si="27"/>
        <v>7.817789999999964</v>
      </c>
      <c r="S144" s="235">
        <f t="shared" si="28"/>
        <v>13.796099999999999</v>
      </c>
      <c r="T144" s="247">
        <f t="shared" si="19"/>
        <v>21.613889999999962</v>
      </c>
      <c r="U144" s="238"/>
      <c r="V144" s="520"/>
      <c r="W144" s="234" t="s">
        <v>227</v>
      </c>
      <c r="X144" s="235"/>
      <c r="Y144" s="235"/>
      <c r="Z144" s="235"/>
      <c r="AA144" s="247">
        <f t="shared" si="20"/>
        <v>0</v>
      </c>
      <c r="AB144" s="238"/>
      <c r="AC144" s="520"/>
      <c r="AD144" s="234" t="s">
        <v>227</v>
      </c>
      <c r="AE144" s="235"/>
      <c r="AF144" s="235"/>
      <c r="AG144" s="235"/>
      <c r="AH144" s="247">
        <f t="shared" si="21"/>
        <v>0</v>
      </c>
      <c r="AI144" s="238"/>
      <c r="AK144" s="240"/>
    </row>
    <row r="145" spans="1:37" x14ac:dyDescent="0.2">
      <c r="A145" s="514"/>
      <c r="B145" s="234" t="s">
        <v>228</v>
      </c>
      <c r="C145" s="235">
        <f t="shared" si="25"/>
        <v>17.04082474226837</v>
      </c>
      <c r="D145" s="235">
        <f t="shared" si="22"/>
        <v>0.28401374570447285</v>
      </c>
      <c r="E145" s="245">
        <f t="shared" si="30"/>
        <v>0.85204123711341284</v>
      </c>
      <c r="F145" s="236">
        <f t="shared" si="32"/>
        <v>1.1360549828178856</v>
      </c>
      <c r="G145" s="239"/>
      <c r="H145" s="512"/>
      <c r="I145" s="234" t="s">
        <v>228</v>
      </c>
      <c r="J145" s="235">
        <f t="shared" si="26"/>
        <v>120.20487499999848</v>
      </c>
      <c r="K145" s="235">
        <f t="shared" si="23"/>
        <v>2.0034145833333081</v>
      </c>
      <c r="L145" s="235">
        <f t="shared" si="24"/>
        <v>5.7240416666666665</v>
      </c>
      <c r="M145" s="247">
        <f t="shared" si="18"/>
        <v>7.7274562499999746</v>
      </c>
      <c r="N145" s="238"/>
      <c r="O145" s="520"/>
      <c r="P145" s="234" t="s">
        <v>228</v>
      </c>
      <c r="Q145" s="235">
        <f t="shared" si="29"/>
        <v>455.27129999999784</v>
      </c>
      <c r="R145" s="235">
        <f t="shared" si="27"/>
        <v>7.5878549999999647</v>
      </c>
      <c r="S145" s="235">
        <f t="shared" si="28"/>
        <v>13.796099999999999</v>
      </c>
      <c r="T145" s="247">
        <f t="shared" si="19"/>
        <v>21.383954999999965</v>
      </c>
      <c r="U145" s="238"/>
      <c r="V145" s="520"/>
      <c r="W145" s="234" t="s">
        <v>228</v>
      </c>
      <c r="X145" s="235"/>
      <c r="Y145" s="235"/>
      <c r="Z145" s="235"/>
      <c r="AA145" s="247">
        <f t="shared" si="20"/>
        <v>0</v>
      </c>
      <c r="AB145" s="238"/>
      <c r="AC145" s="520"/>
      <c r="AD145" s="234" t="s">
        <v>228</v>
      </c>
      <c r="AE145" s="235"/>
      <c r="AF145" s="235"/>
      <c r="AG145" s="235"/>
      <c r="AH145" s="247">
        <f t="shared" si="21"/>
        <v>0</v>
      </c>
      <c r="AI145" s="238"/>
      <c r="AK145" s="240"/>
    </row>
    <row r="146" spans="1:37" x14ac:dyDescent="0.2">
      <c r="A146" s="514"/>
      <c r="B146" s="234" t="s">
        <v>229</v>
      </c>
      <c r="C146" s="235">
        <f t="shared" si="25"/>
        <v>16.188783505154959</v>
      </c>
      <c r="D146" s="235">
        <f t="shared" si="22"/>
        <v>0.26981305841924935</v>
      </c>
      <c r="E146" s="245">
        <f t="shared" si="30"/>
        <v>0.85204123711341284</v>
      </c>
      <c r="F146" s="236">
        <f t="shared" si="32"/>
        <v>1.1218542955326622</v>
      </c>
      <c r="G146" s="239"/>
      <c r="H146" s="512"/>
      <c r="I146" s="234" t="s">
        <v>229</v>
      </c>
      <c r="J146" s="235">
        <f t="shared" si="26"/>
        <v>114.48083333333182</v>
      </c>
      <c r="K146" s="235">
        <f t="shared" si="23"/>
        <v>1.9080138888888636</v>
      </c>
      <c r="L146" s="235">
        <f t="shared" si="24"/>
        <v>5.7240416666666665</v>
      </c>
      <c r="M146" s="247">
        <f t="shared" si="18"/>
        <v>7.6320555555555298</v>
      </c>
      <c r="N146" s="238"/>
      <c r="O146" s="520"/>
      <c r="P146" s="234" t="s">
        <v>229</v>
      </c>
      <c r="Q146" s="235">
        <f t="shared" si="29"/>
        <v>441.47519999999781</v>
      </c>
      <c r="R146" s="235">
        <f t="shared" si="27"/>
        <v>7.3579199999999645</v>
      </c>
      <c r="S146" s="235">
        <f t="shared" si="28"/>
        <v>13.796099999999999</v>
      </c>
      <c r="T146" s="247">
        <f t="shared" si="19"/>
        <v>21.154019999999964</v>
      </c>
      <c r="U146" s="238"/>
      <c r="V146" s="520"/>
      <c r="W146" s="234" t="s">
        <v>229</v>
      </c>
      <c r="X146" s="235"/>
      <c r="Y146" s="235"/>
      <c r="Z146" s="235"/>
      <c r="AA146" s="247">
        <f t="shared" si="20"/>
        <v>0</v>
      </c>
      <c r="AB146" s="238"/>
      <c r="AC146" s="520"/>
      <c r="AD146" s="234" t="s">
        <v>229</v>
      </c>
      <c r="AE146" s="235"/>
      <c r="AF146" s="235"/>
      <c r="AG146" s="235"/>
      <c r="AH146" s="247">
        <f t="shared" si="21"/>
        <v>0</v>
      </c>
      <c r="AI146" s="238"/>
      <c r="AK146" s="240"/>
    </row>
    <row r="147" spans="1:37" x14ac:dyDescent="0.2">
      <c r="A147" s="514"/>
      <c r="B147" s="234" t="s">
        <v>230</v>
      </c>
      <c r="C147" s="235">
        <f t="shared" si="25"/>
        <v>15.336742268041546</v>
      </c>
      <c r="D147" s="235">
        <f t="shared" si="22"/>
        <v>0.25561237113402574</v>
      </c>
      <c r="E147" s="245">
        <f t="shared" si="30"/>
        <v>0.85204123711341284</v>
      </c>
      <c r="F147" s="236">
        <f t="shared" si="32"/>
        <v>1.1076536082474386</v>
      </c>
      <c r="G147" s="239"/>
      <c r="H147" s="512"/>
      <c r="I147" s="234" t="s">
        <v>230</v>
      </c>
      <c r="J147" s="235">
        <f t="shared" si="26"/>
        <v>108.75679166666515</v>
      </c>
      <c r="K147" s="235">
        <f t="shared" si="23"/>
        <v>1.8126131944444193</v>
      </c>
      <c r="L147" s="235">
        <f t="shared" si="24"/>
        <v>5.7240416666666665</v>
      </c>
      <c r="M147" s="247">
        <f t="shared" si="18"/>
        <v>7.536654861111086</v>
      </c>
      <c r="N147" s="238"/>
      <c r="O147" s="520"/>
      <c r="P147" s="234" t="s">
        <v>230</v>
      </c>
      <c r="Q147" s="235">
        <f t="shared" si="29"/>
        <v>427.67909999999779</v>
      </c>
      <c r="R147" s="235">
        <f t="shared" si="27"/>
        <v>7.1279849999999634</v>
      </c>
      <c r="S147" s="235">
        <f t="shared" si="28"/>
        <v>13.796099999999999</v>
      </c>
      <c r="T147" s="247">
        <f t="shared" si="19"/>
        <v>20.924084999999963</v>
      </c>
      <c r="U147" s="238"/>
      <c r="V147" s="520"/>
      <c r="W147" s="234" t="s">
        <v>230</v>
      </c>
      <c r="X147" s="235"/>
      <c r="Y147" s="235"/>
      <c r="Z147" s="235"/>
      <c r="AA147" s="247">
        <f t="shared" si="20"/>
        <v>0</v>
      </c>
      <c r="AB147" s="238"/>
      <c r="AC147" s="520"/>
      <c r="AD147" s="234" t="s">
        <v>230</v>
      </c>
      <c r="AE147" s="235"/>
      <c r="AF147" s="235"/>
      <c r="AG147" s="235"/>
      <c r="AH147" s="247">
        <f t="shared" si="21"/>
        <v>0</v>
      </c>
      <c r="AI147" s="238"/>
      <c r="AK147" s="240"/>
    </row>
    <row r="148" spans="1:37" x14ac:dyDescent="0.2">
      <c r="A148" s="514"/>
      <c r="B148" s="234" t="s">
        <v>231</v>
      </c>
      <c r="C148" s="235">
        <f t="shared" si="25"/>
        <v>14.484701030928132</v>
      </c>
      <c r="D148" s="235">
        <f t="shared" si="22"/>
        <v>0.24141168384880221</v>
      </c>
      <c r="E148" s="245">
        <f t="shared" si="30"/>
        <v>0.85204123711341284</v>
      </c>
      <c r="F148" s="236">
        <f t="shared" si="32"/>
        <v>1.093452920962215</v>
      </c>
      <c r="G148" s="239"/>
      <c r="H148" s="512"/>
      <c r="I148" s="234" t="s">
        <v>231</v>
      </c>
      <c r="J148" s="235">
        <f t="shared" si="26"/>
        <v>103.03274999999849</v>
      </c>
      <c r="K148" s="235">
        <f t="shared" si="23"/>
        <v>1.7172124999999749</v>
      </c>
      <c r="L148" s="235">
        <f t="shared" si="24"/>
        <v>5.7240416666666665</v>
      </c>
      <c r="M148" s="247">
        <f t="shared" si="18"/>
        <v>7.4412541666666412</v>
      </c>
      <c r="N148" s="238"/>
      <c r="O148" s="520"/>
      <c r="P148" s="234" t="s">
        <v>231</v>
      </c>
      <c r="Q148" s="235">
        <f t="shared" si="29"/>
        <v>413.88299999999776</v>
      </c>
      <c r="R148" s="235">
        <f t="shared" si="27"/>
        <v>6.8980499999999632</v>
      </c>
      <c r="S148" s="235">
        <f t="shared" si="28"/>
        <v>13.796099999999999</v>
      </c>
      <c r="T148" s="247">
        <f t="shared" si="19"/>
        <v>20.694149999999961</v>
      </c>
      <c r="U148" s="238"/>
      <c r="V148" s="520"/>
      <c r="W148" s="234" t="s">
        <v>231</v>
      </c>
      <c r="X148" s="235"/>
      <c r="Y148" s="235"/>
      <c r="Z148" s="235"/>
      <c r="AA148" s="247">
        <f t="shared" si="20"/>
        <v>0</v>
      </c>
      <c r="AB148" s="238"/>
      <c r="AC148" s="520"/>
      <c r="AD148" s="234" t="s">
        <v>231</v>
      </c>
      <c r="AE148" s="235"/>
      <c r="AF148" s="235"/>
      <c r="AG148" s="235"/>
      <c r="AH148" s="247">
        <f t="shared" si="21"/>
        <v>0</v>
      </c>
      <c r="AI148" s="238"/>
      <c r="AK148" s="240"/>
    </row>
    <row r="149" spans="1:37" x14ac:dyDescent="0.2">
      <c r="A149" s="514"/>
      <c r="B149" s="234" t="s">
        <v>232</v>
      </c>
      <c r="C149" s="235">
        <f t="shared" si="25"/>
        <v>13.632659793814719</v>
      </c>
      <c r="D149" s="235">
        <f t="shared" si="22"/>
        <v>0.22721099656357868</v>
      </c>
      <c r="E149" s="245">
        <f t="shared" si="30"/>
        <v>0.85204123711341284</v>
      </c>
      <c r="F149" s="236">
        <f t="shared" si="32"/>
        <v>1.0792522336769914</v>
      </c>
      <c r="G149" s="239"/>
      <c r="H149" s="512"/>
      <c r="I149" s="234" t="s">
        <v>232</v>
      </c>
      <c r="J149" s="235">
        <f t="shared" si="26"/>
        <v>97.308708333331822</v>
      </c>
      <c r="K149" s="235">
        <f t="shared" si="23"/>
        <v>1.6218118055555306</v>
      </c>
      <c r="L149" s="235">
        <f t="shared" si="24"/>
        <v>5.7240416666666665</v>
      </c>
      <c r="M149" s="247">
        <f t="shared" si="18"/>
        <v>7.3458534722221973</v>
      </c>
      <c r="N149" s="238"/>
      <c r="O149" s="520"/>
      <c r="P149" s="234" t="s">
        <v>232</v>
      </c>
      <c r="Q149" s="235">
        <f t="shared" si="29"/>
        <v>400.08689999999774</v>
      </c>
      <c r="R149" s="235">
        <f t="shared" si="27"/>
        <v>6.668114999999962</v>
      </c>
      <c r="S149" s="235">
        <f t="shared" si="28"/>
        <v>13.796099999999999</v>
      </c>
      <c r="T149" s="247">
        <f t="shared" si="19"/>
        <v>20.46421499999996</v>
      </c>
      <c r="U149" s="238"/>
      <c r="V149" s="520"/>
      <c r="W149" s="234" t="s">
        <v>232</v>
      </c>
      <c r="X149" s="235"/>
      <c r="Y149" s="235"/>
      <c r="Z149" s="235"/>
      <c r="AA149" s="247">
        <f t="shared" si="20"/>
        <v>0</v>
      </c>
      <c r="AB149" s="238"/>
      <c r="AC149" s="520"/>
      <c r="AD149" s="234" t="s">
        <v>232</v>
      </c>
      <c r="AE149" s="235"/>
      <c r="AF149" s="235"/>
      <c r="AG149" s="235"/>
      <c r="AH149" s="247">
        <f t="shared" si="21"/>
        <v>0</v>
      </c>
      <c r="AI149" s="238"/>
      <c r="AK149" s="240"/>
    </row>
    <row r="150" spans="1:37" x14ac:dyDescent="0.2">
      <c r="A150" s="514"/>
      <c r="B150" s="234" t="s">
        <v>233</v>
      </c>
      <c r="C150" s="235">
        <f t="shared" si="25"/>
        <v>12.780618556701306</v>
      </c>
      <c r="D150" s="235">
        <f t="shared" si="22"/>
        <v>0.2130103092783551</v>
      </c>
      <c r="E150" s="245">
        <f t="shared" si="30"/>
        <v>0.85204123711341284</v>
      </c>
      <c r="F150" s="236">
        <f t="shared" si="32"/>
        <v>1.065051546391768</v>
      </c>
      <c r="G150" s="239"/>
      <c r="H150" s="512"/>
      <c r="I150" s="234" t="s">
        <v>233</v>
      </c>
      <c r="J150" s="235">
        <f t="shared" si="26"/>
        <v>91.584666666665157</v>
      </c>
      <c r="K150" s="235">
        <f t="shared" si="23"/>
        <v>1.5264111111110861</v>
      </c>
      <c r="L150" s="235">
        <f t="shared" si="24"/>
        <v>5.7240416666666665</v>
      </c>
      <c r="M150" s="247">
        <f t="shared" si="18"/>
        <v>7.2504527777777525</v>
      </c>
      <c r="N150" s="238"/>
      <c r="O150" s="520"/>
      <c r="P150" s="234" t="s">
        <v>233</v>
      </c>
      <c r="Q150" s="235">
        <f t="shared" si="29"/>
        <v>386.29079999999772</v>
      </c>
      <c r="R150" s="235">
        <f t="shared" si="27"/>
        <v>6.4381799999999627</v>
      </c>
      <c r="S150" s="235">
        <f t="shared" si="28"/>
        <v>13.796099999999999</v>
      </c>
      <c r="T150" s="247">
        <f t="shared" si="19"/>
        <v>20.234279999999963</v>
      </c>
      <c r="U150" s="238"/>
      <c r="V150" s="520"/>
      <c r="W150" s="234" t="s">
        <v>233</v>
      </c>
      <c r="X150" s="235"/>
      <c r="Y150" s="235"/>
      <c r="Z150" s="235"/>
      <c r="AA150" s="247">
        <f t="shared" si="20"/>
        <v>0</v>
      </c>
      <c r="AB150" s="238"/>
      <c r="AC150" s="520"/>
      <c r="AD150" s="234" t="s">
        <v>233</v>
      </c>
      <c r="AE150" s="235"/>
      <c r="AF150" s="235"/>
      <c r="AG150" s="235"/>
      <c r="AH150" s="247">
        <f t="shared" si="21"/>
        <v>0</v>
      </c>
      <c r="AI150" s="238"/>
      <c r="AK150" s="240"/>
    </row>
    <row r="151" spans="1:37" x14ac:dyDescent="0.2">
      <c r="A151" s="514"/>
      <c r="B151" s="234" t="s">
        <v>234</v>
      </c>
      <c r="C151" s="235">
        <f t="shared" si="25"/>
        <v>11.928577319587893</v>
      </c>
      <c r="D151" s="235">
        <f t="shared" si="22"/>
        <v>0.19880962199313157</v>
      </c>
      <c r="E151" s="245">
        <f t="shared" si="30"/>
        <v>0.85204123711341284</v>
      </c>
      <c r="F151" s="236">
        <f t="shared" si="32"/>
        <v>1.0508508591065444</v>
      </c>
      <c r="G151" s="239"/>
      <c r="H151" s="512"/>
      <c r="I151" s="234" t="s">
        <v>234</v>
      </c>
      <c r="J151" s="235">
        <f t="shared" si="26"/>
        <v>85.860624999998493</v>
      </c>
      <c r="K151" s="235">
        <f t="shared" si="23"/>
        <v>1.4310104166666415</v>
      </c>
      <c r="L151" s="235">
        <f t="shared" si="24"/>
        <v>5.7240416666666665</v>
      </c>
      <c r="M151" s="247">
        <f>K151+L151</f>
        <v>7.1550520833333078</v>
      </c>
      <c r="N151" s="238"/>
      <c r="O151" s="520"/>
      <c r="P151" s="234" t="s">
        <v>234</v>
      </c>
      <c r="Q151" s="235">
        <f t="shared" si="29"/>
        <v>372.49469999999769</v>
      </c>
      <c r="R151" s="235">
        <f t="shared" si="27"/>
        <v>6.2082449999999616</v>
      </c>
      <c r="S151" s="235">
        <f t="shared" si="28"/>
        <v>13.796099999999999</v>
      </c>
      <c r="T151" s="247">
        <f t="shared" si="19"/>
        <v>20.004344999999962</v>
      </c>
      <c r="U151" s="238"/>
      <c r="V151" s="520"/>
      <c r="W151" s="234" t="s">
        <v>234</v>
      </c>
      <c r="X151" s="235"/>
      <c r="Y151" s="235"/>
      <c r="Z151" s="235"/>
      <c r="AA151" s="247">
        <f t="shared" si="20"/>
        <v>0</v>
      </c>
      <c r="AB151" s="238"/>
      <c r="AC151" s="520"/>
      <c r="AD151" s="234" t="s">
        <v>234</v>
      </c>
      <c r="AE151" s="235"/>
      <c r="AF151" s="235"/>
      <c r="AG151" s="235"/>
      <c r="AH151" s="247">
        <f t="shared" si="21"/>
        <v>0</v>
      </c>
      <c r="AI151" s="238"/>
      <c r="AK151" s="240"/>
    </row>
    <row r="152" spans="1:37" x14ac:dyDescent="0.2">
      <c r="A152" s="514"/>
      <c r="B152" s="234" t="s">
        <v>235</v>
      </c>
      <c r="C152" s="235">
        <f t="shared" si="25"/>
        <v>11.07653608247448</v>
      </c>
      <c r="D152" s="235">
        <f t="shared" si="22"/>
        <v>0.18460893470790798</v>
      </c>
      <c r="E152" s="245">
        <f t="shared" si="30"/>
        <v>0.85204123711341284</v>
      </c>
      <c r="F152" s="236">
        <f t="shared" si="32"/>
        <v>1.0366501718213208</v>
      </c>
      <c r="G152" s="239"/>
      <c r="H152" s="512"/>
      <c r="I152" s="234" t="s">
        <v>235</v>
      </c>
      <c r="J152" s="235">
        <f t="shared" si="26"/>
        <v>80.136583333331828</v>
      </c>
      <c r="K152" s="235">
        <f t="shared" si="23"/>
        <v>1.3356097222221972</v>
      </c>
      <c r="L152" s="235">
        <f t="shared" si="24"/>
        <v>5.7240416666666665</v>
      </c>
      <c r="M152" s="247">
        <f>K152+L152</f>
        <v>7.0596513888888639</v>
      </c>
      <c r="N152" s="238"/>
      <c r="O152" s="520"/>
      <c r="P152" s="234" t="s">
        <v>235</v>
      </c>
      <c r="Q152" s="235">
        <f t="shared" si="29"/>
        <v>358.69859999999767</v>
      </c>
      <c r="R152" s="235">
        <f t="shared" si="27"/>
        <v>5.9783099999999614</v>
      </c>
      <c r="S152" s="235">
        <f t="shared" si="28"/>
        <v>13.796099999999999</v>
      </c>
      <c r="T152" s="247">
        <f t="shared" si="19"/>
        <v>19.774409999999961</v>
      </c>
      <c r="U152" s="238"/>
      <c r="V152" s="520"/>
      <c r="W152" s="234" t="s">
        <v>235</v>
      </c>
      <c r="X152" s="235"/>
      <c r="Y152" s="235"/>
      <c r="Z152" s="235"/>
      <c r="AA152" s="247">
        <f t="shared" si="20"/>
        <v>0</v>
      </c>
      <c r="AB152" s="238"/>
      <c r="AC152" s="520"/>
      <c r="AD152" s="234" t="s">
        <v>235</v>
      </c>
      <c r="AE152" s="235"/>
      <c r="AF152" s="235"/>
      <c r="AG152" s="235"/>
      <c r="AH152" s="247">
        <f t="shared" si="21"/>
        <v>0</v>
      </c>
      <c r="AI152" s="238"/>
      <c r="AK152" s="240"/>
    </row>
    <row r="153" spans="1:37" x14ac:dyDescent="0.2">
      <c r="A153" s="515"/>
      <c r="B153" s="234" t="s">
        <v>236</v>
      </c>
      <c r="C153" s="235">
        <f t="shared" si="25"/>
        <v>10.224494845361066</v>
      </c>
      <c r="D153" s="235">
        <f t="shared" si="22"/>
        <v>0.17040824742268446</v>
      </c>
      <c r="E153" s="245">
        <f t="shared" si="30"/>
        <v>0.85204123711341284</v>
      </c>
      <c r="F153" s="236">
        <f>D153+E153</f>
        <v>1.0224494845360974</v>
      </c>
      <c r="G153" s="239">
        <f>SUM(D142:D153)</f>
        <v>2.9821443298969674</v>
      </c>
      <c r="H153" s="512"/>
      <c r="I153" s="234" t="s">
        <v>236</v>
      </c>
      <c r="J153" s="235">
        <f t="shared" si="26"/>
        <v>74.412541666665163</v>
      </c>
      <c r="K153" s="235">
        <f t="shared" si="23"/>
        <v>1.2402090277777529</v>
      </c>
      <c r="L153" s="235">
        <f t="shared" si="24"/>
        <v>5.7240416666666665</v>
      </c>
      <c r="M153" s="247">
        <f>K153+L153</f>
        <v>6.9642506944444191</v>
      </c>
      <c r="N153" s="239">
        <f>SUM(K142:K153)</f>
        <v>21.178954166666365</v>
      </c>
      <c r="O153" s="521"/>
      <c r="P153" s="234" t="s">
        <v>236</v>
      </c>
      <c r="Q153" s="235">
        <f t="shared" si="29"/>
        <v>344.90249999999764</v>
      </c>
      <c r="R153" s="235">
        <f t="shared" si="27"/>
        <v>5.7483749999999612</v>
      </c>
      <c r="S153" s="235">
        <f t="shared" si="28"/>
        <v>13.796099999999999</v>
      </c>
      <c r="T153" s="247">
        <f t="shared" si="19"/>
        <v>19.544474999999959</v>
      </c>
      <c r="U153" s="238">
        <f>SUM(R142:R153)</f>
        <v>84.156209999999575</v>
      </c>
      <c r="V153" s="521"/>
      <c r="W153" s="234" t="s">
        <v>236</v>
      </c>
      <c r="X153" s="235"/>
      <c r="Y153" s="235"/>
      <c r="Z153" s="235"/>
      <c r="AA153" s="247">
        <f t="shared" si="20"/>
        <v>0</v>
      </c>
      <c r="AB153" s="238">
        <f>SUM(Y142:Y153)</f>
        <v>0</v>
      </c>
      <c r="AC153" s="521"/>
      <c r="AD153" s="234" t="s">
        <v>236</v>
      </c>
      <c r="AE153" s="235"/>
      <c r="AF153" s="235"/>
      <c r="AG153" s="235"/>
      <c r="AH153" s="247">
        <f t="shared" si="21"/>
        <v>0</v>
      </c>
      <c r="AI153" s="238">
        <f>SUM(AF142:AF153)</f>
        <v>0</v>
      </c>
      <c r="AJ153" s="208">
        <f>O142</f>
        <v>2033</v>
      </c>
      <c r="AK153" s="240">
        <f>G153+N153+U153+AB153+AI153</f>
        <v>108.3173084965629</v>
      </c>
    </row>
    <row r="154" spans="1:37" x14ac:dyDescent="0.2">
      <c r="A154" s="513">
        <f>A142+1</f>
        <v>2034</v>
      </c>
      <c r="B154" s="234" t="s">
        <v>225</v>
      </c>
      <c r="C154" s="235">
        <f t="shared" si="25"/>
        <v>9.3724536082476533</v>
      </c>
      <c r="D154" s="235">
        <f t="shared" si="22"/>
        <v>0.1562075601374609</v>
      </c>
      <c r="E154" s="245">
        <f t="shared" si="30"/>
        <v>0.85204123711341284</v>
      </c>
      <c r="F154" s="236">
        <f>D154+E154</f>
        <v>1.0082487972508738</v>
      </c>
      <c r="G154" s="239"/>
      <c r="H154" s="512">
        <f>H142+1</f>
        <v>2034</v>
      </c>
      <c r="I154" s="234" t="s">
        <v>225</v>
      </c>
      <c r="J154" s="235">
        <f t="shared" si="26"/>
        <v>68.688499999998498</v>
      </c>
      <c r="K154" s="235">
        <f t="shared" si="23"/>
        <v>1.1448083333333083</v>
      </c>
      <c r="L154" s="235">
        <f t="shared" si="24"/>
        <v>5.7240416666666665</v>
      </c>
      <c r="M154" s="247">
        <f t="shared" ref="M154:M165" si="33">K154+L154</f>
        <v>6.8688499999999753</v>
      </c>
      <c r="N154" s="239"/>
      <c r="O154" s="519">
        <f>O142+1</f>
        <v>2034</v>
      </c>
      <c r="P154" s="234" t="s">
        <v>225</v>
      </c>
      <c r="Q154" s="235">
        <f t="shared" si="29"/>
        <v>331.10639999999762</v>
      </c>
      <c r="R154" s="235">
        <f t="shared" si="27"/>
        <v>5.51843999999996</v>
      </c>
      <c r="S154" s="235">
        <f t="shared" si="28"/>
        <v>13.796099999999999</v>
      </c>
      <c r="T154" s="247">
        <f t="shared" si="19"/>
        <v>19.314539999999958</v>
      </c>
      <c r="U154" s="237"/>
      <c r="V154" s="519">
        <v>2033</v>
      </c>
      <c r="W154" s="234" t="s">
        <v>225</v>
      </c>
      <c r="X154" s="235">
        <f>X7-X8</f>
        <v>0</v>
      </c>
      <c r="Y154" s="235">
        <f>X154*$Y$7/12</f>
        <v>0</v>
      </c>
      <c r="Z154" s="235">
        <f t="shared" ref="Z154:Z165" si="34">$X$7/Y$8</f>
        <v>0</v>
      </c>
      <c r="AA154" s="247">
        <f t="shared" si="20"/>
        <v>0</v>
      </c>
      <c r="AB154" s="237"/>
      <c r="AC154" s="519">
        <v>2033</v>
      </c>
      <c r="AD154" s="234" t="s">
        <v>225</v>
      </c>
      <c r="AE154" s="235"/>
      <c r="AF154" s="235">
        <f>AE154*$Y$7/12</f>
        <v>0</v>
      </c>
      <c r="AG154" s="235"/>
      <c r="AH154" s="247">
        <f t="shared" si="21"/>
        <v>0</v>
      </c>
      <c r="AI154" s="237"/>
      <c r="AK154" s="240"/>
    </row>
    <row r="155" spans="1:37" x14ac:dyDescent="0.2">
      <c r="A155" s="514"/>
      <c r="B155" s="234" t="s">
        <v>226</v>
      </c>
      <c r="C155" s="235">
        <f t="shared" si="25"/>
        <v>8.5204123711342401</v>
      </c>
      <c r="D155" s="235">
        <f t="shared" si="22"/>
        <v>0.14200687285223734</v>
      </c>
      <c r="E155" s="245">
        <f t="shared" si="30"/>
        <v>0.85204123711341284</v>
      </c>
      <c r="F155" s="236">
        <f>D155+E155</f>
        <v>0.99404810996565018</v>
      </c>
      <c r="G155" s="239"/>
      <c r="H155" s="512"/>
      <c r="I155" s="234" t="s">
        <v>226</v>
      </c>
      <c r="J155" s="235">
        <f t="shared" si="26"/>
        <v>62.964458333331834</v>
      </c>
      <c r="K155" s="235">
        <f t="shared" si="23"/>
        <v>1.049407638888864</v>
      </c>
      <c r="L155" s="235">
        <f t="shared" si="24"/>
        <v>5.7240416666666665</v>
      </c>
      <c r="M155" s="247">
        <f t="shared" si="33"/>
        <v>6.7734493055555305</v>
      </c>
      <c r="N155" s="239"/>
      <c r="O155" s="520"/>
      <c r="P155" s="234" t="s">
        <v>226</v>
      </c>
      <c r="Q155" s="235">
        <f t="shared" si="29"/>
        <v>317.3102999999976</v>
      </c>
      <c r="R155" s="235">
        <f t="shared" si="27"/>
        <v>5.2885049999999607</v>
      </c>
      <c r="S155" s="235">
        <f t="shared" si="28"/>
        <v>13.796099999999999</v>
      </c>
      <c r="T155" s="247">
        <f t="shared" si="19"/>
        <v>19.084604999999961</v>
      </c>
      <c r="U155" s="238"/>
      <c r="V155" s="520"/>
      <c r="W155" s="234" t="s">
        <v>226</v>
      </c>
      <c r="X155" s="235">
        <f>X154-Z154</f>
        <v>0</v>
      </c>
      <c r="Y155" s="235">
        <f t="shared" ref="Y155:Y218" si="35">X155*$Y$7/12</f>
        <v>0</v>
      </c>
      <c r="Z155" s="235">
        <f t="shared" si="34"/>
        <v>0</v>
      </c>
      <c r="AA155" s="247">
        <f t="shared" si="20"/>
        <v>0</v>
      </c>
      <c r="AB155" s="238"/>
      <c r="AC155" s="520"/>
      <c r="AD155" s="234" t="s">
        <v>226</v>
      </c>
      <c r="AE155" s="235"/>
      <c r="AF155" s="235">
        <f t="shared" ref="AF155:AF218" si="36">AE155*$Y$7/12</f>
        <v>0</v>
      </c>
      <c r="AG155" s="235"/>
      <c r="AH155" s="247">
        <f t="shared" si="21"/>
        <v>0</v>
      </c>
      <c r="AI155" s="238"/>
      <c r="AK155" s="240"/>
    </row>
    <row r="156" spans="1:37" x14ac:dyDescent="0.2">
      <c r="A156" s="514"/>
      <c r="B156" s="234" t="s">
        <v>227</v>
      </c>
      <c r="C156" s="235">
        <f t="shared" si="25"/>
        <v>7.6683711340208269</v>
      </c>
      <c r="D156" s="235">
        <f t="shared" si="22"/>
        <v>0.12780618556701379</v>
      </c>
      <c r="E156" s="245">
        <f>$C$68/($D$8-23)</f>
        <v>0.85204123711341284</v>
      </c>
      <c r="F156" s="236">
        <f>D156+E156</f>
        <v>0.97984742268042657</v>
      </c>
      <c r="G156" s="239"/>
      <c r="H156" s="512"/>
      <c r="I156" s="234" t="s">
        <v>227</v>
      </c>
      <c r="J156" s="235">
        <f t="shared" si="26"/>
        <v>57.240416666665169</v>
      </c>
      <c r="K156" s="235">
        <f t="shared" si="23"/>
        <v>0.95400694444441958</v>
      </c>
      <c r="L156" s="235">
        <f t="shared" si="24"/>
        <v>5.7240416666666665</v>
      </c>
      <c r="M156" s="247">
        <f t="shared" si="33"/>
        <v>6.6780486111110857</v>
      </c>
      <c r="N156" s="239"/>
      <c r="O156" s="520"/>
      <c r="P156" s="234" t="s">
        <v>227</v>
      </c>
      <c r="Q156" s="235">
        <f t="shared" si="29"/>
        <v>303.51419999999757</v>
      </c>
      <c r="R156" s="235">
        <f t="shared" si="27"/>
        <v>5.0585699999999596</v>
      </c>
      <c r="S156" s="235">
        <f t="shared" si="28"/>
        <v>13.796099999999999</v>
      </c>
      <c r="T156" s="247">
        <f t="shared" si="19"/>
        <v>18.85466999999996</v>
      </c>
      <c r="U156" s="238"/>
      <c r="V156" s="520"/>
      <c r="W156" s="234" t="s">
        <v>227</v>
      </c>
      <c r="X156" s="235">
        <f t="shared" ref="X156:X219" si="37">X155-Z155</f>
        <v>0</v>
      </c>
      <c r="Y156" s="235">
        <f t="shared" si="35"/>
        <v>0</v>
      </c>
      <c r="Z156" s="235">
        <f t="shared" si="34"/>
        <v>0</v>
      </c>
      <c r="AA156" s="247">
        <f t="shared" si="20"/>
        <v>0</v>
      </c>
      <c r="AB156" s="238"/>
      <c r="AC156" s="520"/>
      <c r="AD156" s="234" t="s">
        <v>227</v>
      </c>
      <c r="AE156" s="235"/>
      <c r="AF156" s="235">
        <f t="shared" si="36"/>
        <v>0</v>
      </c>
      <c r="AG156" s="235"/>
      <c r="AH156" s="247">
        <f t="shared" si="21"/>
        <v>0</v>
      </c>
      <c r="AI156" s="238"/>
      <c r="AK156" s="240"/>
    </row>
    <row r="157" spans="1:37" x14ac:dyDescent="0.2">
      <c r="A157" s="514"/>
      <c r="B157" s="234" t="s">
        <v>228</v>
      </c>
      <c r="C157" s="235">
        <f t="shared" si="25"/>
        <v>6.8163298969074138</v>
      </c>
      <c r="D157" s="235">
        <f t="shared" si="22"/>
        <v>0.11360549828179023</v>
      </c>
      <c r="E157" s="245">
        <f t="shared" si="30"/>
        <v>0.85204123711341284</v>
      </c>
      <c r="F157" s="236">
        <f t="shared" ref="F157:F163" si="38">D157+E157</f>
        <v>0.96564673539520307</v>
      </c>
      <c r="G157" s="239"/>
      <c r="H157" s="512"/>
      <c r="I157" s="234" t="s">
        <v>228</v>
      </c>
      <c r="J157" s="235">
        <f t="shared" si="26"/>
        <v>51.516374999998504</v>
      </c>
      <c r="K157" s="235">
        <f t="shared" si="23"/>
        <v>0.85860624999997504</v>
      </c>
      <c r="L157" s="235">
        <f t="shared" si="24"/>
        <v>5.7240416666666665</v>
      </c>
      <c r="M157" s="247">
        <f t="shared" si="33"/>
        <v>6.5826479166666418</v>
      </c>
      <c r="N157" s="239"/>
      <c r="O157" s="520"/>
      <c r="P157" s="234" t="s">
        <v>228</v>
      </c>
      <c r="Q157" s="235">
        <f t="shared" si="29"/>
        <v>289.71809999999755</v>
      </c>
      <c r="R157" s="235">
        <f t="shared" si="27"/>
        <v>4.8286349999999594</v>
      </c>
      <c r="S157" s="235">
        <f t="shared" si="28"/>
        <v>13.796099999999999</v>
      </c>
      <c r="T157" s="247">
        <f t="shared" si="19"/>
        <v>18.624734999999959</v>
      </c>
      <c r="U157" s="238"/>
      <c r="V157" s="520"/>
      <c r="W157" s="234" t="s">
        <v>228</v>
      </c>
      <c r="X157" s="235">
        <f t="shared" si="37"/>
        <v>0</v>
      </c>
      <c r="Y157" s="235">
        <f t="shared" si="35"/>
        <v>0</v>
      </c>
      <c r="Z157" s="235">
        <f t="shared" si="34"/>
        <v>0</v>
      </c>
      <c r="AA157" s="247">
        <f t="shared" si="20"/>
        <v>0</v>
      </c>
      <c r="AB157" s="238"/>
      <c r="AC157" s="520"/>
      <c r="AD157" s="234" t="s">
        <v>228</v>
      </c>
      <c r="AE157" s="235"/>
      <c r="AF157" s="235">
        <f t="shared" si="36"/>
        <v>0</v>
      </c>
      <c r="AG157" s="235"/>
      <c r="AH157" s="247">
        <f t="shared" si="21"/>
        <v>0</v>
      </c>
      <c r="AI157" s="238"/>
      <c r="AK157" s="240"/>
    </row>
    <row r="158" spans="1:37" x14ac:dyDescent="0.2">
      <c r="A158" s="514"/>
      <c r="B158" s="234" t="s">
        <v>229</v>
      </c>
      <c r="C158" s="235">
        <f t="shared" si="25"/>
        <v>5.9642886597940006</v>
      </c>
      <c r="D158" s="235">
        <f t="shared" si="22"/>
        <v>9.9404810996566673E-2</v>
      </c>
      <c r="E158" s="245">
        <f t="shared" si="30"/>
        <v>0.85204123711341284</v>
      </c>
      <c r="F158" s="236">
        <f t="shared" si="38"/>
        <v>0.95144604810997957</v>
      </c>
      <c r="G158" s="239"/>
      <c r="H158" s="512"/>
      <c r="I158" s="234" t="s">
        <v>229</v>
      </c>
      <c r="J158" s="235">
        <f t="shared" si="26"/>
        <v>45.79233333333184</v>
      </c>
      <c r="K158" s="235">
        <f t="shared" si="23"/>
        <v>0.76320555555553071</v>
      </c>
      <c r="L158" s="235">
        <f t="shared" si="24"/>
        <v>5.7240416666666665</v>
      </c>
      <c r="M158" s="247">
        <f t="shared" si="33"/>
        <v>6.4872472222221971</v>
      </c>
      <c r="N158" s="239"/>
      <c r="O158" s="520"/>
      <c r="P158" s="234" t="s">
        <v>229</v>
      </c>
      <c r="Q158" s="235">
        <f t="shared" si="29"/>
        <v>275.92199999999752</v>
      </c>
      <c r="R158" s="235">
        <f t="shared" si="27"/>
        <v>4.5986999999999592</v>
      </c>
      <c r="S158" s="235">
        <f t="shared" si="28"/>
        <v>13.796099999999999</v>
      </c>
      <c r="T158" s="247">
        <f t="shared" si="19"/>
        <v>18.394799999999957</v>
      </c>
      <c r="U158" s="238"/>
      <c r="V158" s="520"/>
      <c r="W158" s="234" t="s">
        <v>229</v>
      </c>
      <c r="X158" s="235">
        <f t="shared" si="37"/>
        <v>0</v>
      </c>
      <c r="Y158" s="235">
        <f t="shared" si="35"/>
        <v>0</v>
      </c>
      <c r="Z158" s="235">
        <f t="shared" si="34"/>
        <v>0</v>
      </c>
      <c r="AA158" s="247">
        <f t="shared" si="20"/>
        <v>0</v>
      </c>
      <c r="AB158" s="238"/>
      <c r="AC158" s="520"/>
      <c r="AD158" s="234" t="s">
        <v>229</v>
      </c>
      <c r="AE158" s="235"/>
      <c r="AF158" s="235">
        <f t="shared" si="36"/>
        <v>0</v>
      </c>
      <c r="AG158" s="235"/>
      <c r="AH158" s="247">
        <f t="shared" si="21"/>
        <v>0</v>
      </c>
      <c r="AI158" s="238"/>
      <c r="AK158" s="240"/>
    </row>
    <row r="159" spans="1:37" x14ac:dyDescent="0.2">
      <c r="A159" s="514"/>
      <c r="B159" s="234" t="s">
        <v>230</v>
      </c>
      <c r="C159" s="235">
        <f t="shared" si="25"/>
        <v>5.1122474226805874</v>
      </c>
      <c r="D159" s="235">
        <f t="shared" si="22"/>
        <v>8.520412371134313E-2</v>
      </c>
      <c r="E159" s="245">
        <f t="shared" si="30"/>
        <v>0.85204123711341284</v>
      </c>
      <c r="F159" s="236">
        <f t="shared" si="38"/>
        <v>0.93724536082475596</v>
      </c>
      <c r="G159" s="239"/>
      <c r="H159" s="512"/>
      <c r="I159" s="234" t="s">
        <v>230</v>
      </c>
      <c r="J159" s="235">
        <f t="shared" si="26"/>
        <v>40.068291666665175</v>
      </c>
      <c r="K159" s="235">
        <f t="shared" si="23"/>
        <v>0.66780486111108628</v>
      </c>
      <c r="L159" s="235">
        <f t="shared" si="24"/>
        <v>5.7240416666666665</v>
      </c>
      <c r="M159" s="247">
        <f t="shared" si="33"/>
        <v>6.3918465277777532</v>
      </c>
      <c r="N159" s="239"/>
      <c r="O159" s="520"/>
      <c r="P159" s="234" t="s">
        <v>230</v>
      </c>
      <c r="Q159" s="235">
        <f t="shared" si="29"/>
        <v>262.1258999999975</v>
      </c>
      <c r="R159" s="235">
        <f t="shared" si="27"/>
        <v>4.368764999999958</v>
      </c>
      <c r="S159" s="235">
        <f t="shared" si="28"/>
        <v>13.796099999999999</v>
      </c>
      <c r="T159" s="247">
        <f t="shared" si="19"/>
        <v>18.164864999999956</v>
      </c>
      <c r="U159" s="238"/>
      <c r="V159" s="520"/>
      <c r="W159" s="234" t="s">
        <v>230</v>
      </c>
      <c r="X159" s="235">
        <f t="shared" si="37"/>
        <v>0</v>
      </c>
      <c r="Y159" s="235">
        <f t="shared" si="35"/>
        <v>0</v>
      </c>
      <c r="Z159" s="235">
        <f t="shared" si="34"/>
        <v>0</v>
      </c>
      <c r="AA159" s="247">
        <f t="shared" si="20"/>
        <v>0</v>
      </c>
      <c r="AB159" s="238"/>
      <c r="AC159" s="520"/>
      <c r="AD159" s="234" t="s">
        <v>230</v>
      </c>
      <c r="AE159" s="235"/>
      <c r="AF159" s="235">
        <f t="shared" si="36"/>
        <v>0</v>
      </c>
      <c r="AG159" s="235"/>
      <c r="AH159" s="247">
        <f t="shared" si="21"/>
        <v>0</v>
      </c>
      <c r="AI159" s="238"/>
      <c r="AK159" s="240"/>
    </row>
    <row r="160" spans="1:37" x14ac:dyDescent="0.2">
      <c r="A160" s="514"/>
      <c r="B160" s="234" t="s">
        <v>231</v>
      </c>
      <c r="C160" s="235">
        <f t="shared" si="25"/>
        <v>4.2602061855671742</v>
      </c>
      <c r="D160" s="235">
        <f t="shared" si="22"/>
        <v>7.1003436426119573E-2</v>
      </c>
      <c r="E160" s="245">
        <f t="shared" si="30"/>
        <v>0.85204123711341284</v>
      </c>
      <c r="F160" s="236">
        <f t="shared" si="38"/>
        <v>0.92304467353953246</v>
      </c>
      <c r="G160" s="239"/>
      <c r="H160" s="512"/>
      <c r="I160" s="234" t="s">
        <v>231</v>
      </c>
      <c r="J160" s="235">
        <f t="shared" si="26"/>
        <v>34.34424999999851</v>
      </c>
      <c r="K160" s="235">
        <f t="shared" si="23"/>
        <v>0.57240416666664184</v>
      </c>
      <c r="L160" s="235">
        <f t="shared" si="24"/>
        <v>5.7240416666666665</v>
      </c>
      <c r="M160" s="247">
        <f t="shared" si="33"/>
        <v>6.2964458333333084</v>
      </c>
      <c r="N160" s="239"/>
      <c r="O160" s="520"/>
      <c r="P160" s="234" t="s">
        <v>231</v>
      </c>
      <c r="Q160" s="235">
        <f t="shared" si="29"/>
        <v>248.3297999999975</v>
      </c>
      <c r="R160" s="235">
        <f t="shared" si="27"/>
        <v>4.1388299999999587</v>
      </c>
      <c r="S160" s="235">
        <f t="shared" si="28"/>
        <v>13.796099999999999</v>
      </c>
      <c r="T160" s="247">
        <f t="shared" si="19"/>
        <v>17.934929999999959</v>
      </c>
      <c r="U160" s="238"/>
      <c r="V160" s="520"/>
      <c r="W160" s="234" t="s">
        <v>231</v>
      </c>
      <c r="X160" s="235">
        <f t="shared" si="37"/>
        <v>0</v>
      </c>
      <c r="Y160" s="235">
        <f t="shared" si="35"/>
        <v>0</v>
      </c>
      <c r="Z160" s="235">
        <f t="shared" si="34"/>
        <v>0</v>
      </c>
      <c r="AA160" s="247">
        <f t="shared" si="20"/>
        <v>0</v>
      </c>
      <c r="AB160" s="238"/>
      <c r="AC160" s="520"/>
      <c r="AD160" s="234" t="s">
        <v>231</v>
      </c>
      <c r="AE160" s="235"/>
      <c r="AF160" s="235">
        <f t="shared" si="36"/>
        <v>0</v>
      </c>
      <c r="AG160" s="235"/>
      <c r="AH160" s="247">
        <f t="shared" si="21"/>
        <v>0</v>
      </c>
      <c r="AI160" s="238"/>
      <c r="AK160" s="240"/>
    </row>
    <row r="161" spans="1:37" x14ac:dyDescent="0.2">
      <c r="A161" s="514"/>
      <c r="B161" s="234" t="s">
        <v>232</v>
      </c>
      <c r="C161" s="235">
        <f t="shared" si="25"/>
        <v>3.4081649484537615</v>
      </c>
      <c r="D161" s="235">
        <f t="shared" si="22"/>
        <v>5.6802749140896031E-2</v>
      </c>
      <c r="E161" s="245">
        <f t="shared" si="30"/>
        <v>0.85204123711341284</v>
      </c>
      <c r="F161" s="236">
        <f t="shared" si="38"/>
        <v>0.90884398625430884</v>
      </c>
      <c r="G161" s="239"/>
      <c r="H161" s="512"/>
      <c r="I161" s="234" t="s">
        <v>232</v>
      </c>
      <c r="J161" s="235">
        <f t="shared" si="26"/>
        <v>28.620208333331846</v>
      </c>
      <c r="K161" s="235">
        <f t="shared" si="23"/>
        <v>0.47700347222219747</v>
      </c>
      <c r="L161" s="235">
        <f t="shared" si="24"/>
        <v>5.7240416666666665</v>
      </c>
      <c r="M161" s="247">
        <f t="shared" si="33"/>
        <v>6.2010451388888637</v>
      </c>
      <c r="N161" s="239"/>
      <c r="O161" s="520"/>
      <c r="P161" s="234" t="s">
        <v>232</v>
      </c>
      <c r="Q161" s="235">
        <f t="shared" si="29"/>
        <v>234.53369999999751</v>
      </c>
      <c r="R161" s="235">
        <f t="shared" si="27"/>
        <v>3.9088949999999585</v>
      </c>
      <c r="S161" s="235">
        <f t="shared" si="28"/>
        <v>13.796099999999999</v>
      </c>
      <c r="T161" s="247">
        <f t="shared" si="19"/>
        <v>17.704994999999958</v>
      </c>
      <c r="U161" s="238"/>
      <c r="V161" s="520"/>
      <c r="W161" s="234" t="s">
        <v>232</v>
      </c>
      <c r="X161" s="235">
        <f t="shared" si="37"/>
        <v>0</v>
      </c>
      <c r="Y161" s="235">
        <f t="shared" si="35"/>
        <v>0</v>
      </c>
      <c r="Z161" s="235">
        <f t="shared" si="34"/>
        <v>0</v>
      </c>
      <c r="AA161" s="247">
        <f t="shared" si="20"/>
        <v>0</v>
      </c>
      <c r="AB161" s="238"/>
      <c r="AC161" s="520"/>
      <c r="AD161" s="234" t="s">
        <v>232</v>
      </c>
      <c r="AE161" s="235"/>
      <c r="AF161" s="235">
        <f t="shared" si="36"/>
        <v>0</v>
      </c>
      <c r="AG161" s="235"/>
      <c r="AH161" s="247">
        <f t="shared" si="21"/>
        <v>0</v>
      </c>
      <c r="AI161" s="238"/>
      <c r="AK161" s="240"/>
    </row>
    <row r="162" spans="1:37" x14ac:dyDescent="0.2">
      <c r="A162" s="514"/>
      <c r="B162" s="234" t="s">
        <v>233</v>
      </c>
      <c r="C162" s="235">
        <f t="shared" si="25"/>
        <v>2.5561237113403488</v>
      </c>
      <c r="D162" s="235">
        <f t="shared" si="22"/>
        <v>4.2602061855672481E-2</v>
      </c>
      <c r="E162" s="245">
        <f t="shared" si="30"/>
        <v>0.85204123711341284</v>
      </c>
      <c r="F162" s="236">
        <f t="shared" si="38"/>
        <v>0.89464329896908534</v>
      </c>
      <c r="G162" s="239"/>
      <c r="H162" s="512"/>
      <c r="I162" s="234" t="s">
        <v>233</v>
      </c>
      <c r="J162" s="235">
        <f t="shared" si="26"/>
        <v>22.896166666665181</v>
      </c>
      <c r="K162" s="235">
        <f t="shared" si="23"/>
        <v>0.38160277777775303</v>
      </c>
      <c r="L162" s="235">
        <f t="shared" si="24"/>
        <v>5.7240416666666665</v>
      </c>
      <c r="M162" s="247">
        <f t="shared" si="33"/>
        <v>6.1056444444444198</v>
      </c>
      <c r="N162" s="239"/>
      <c r="O162" s="520"/>
      <c r="P162" s="234" t="s">
        <v>233</v>
      </c>
      <c r="Q162" s="235">
        <f t="shared" si="29"/>
        <v>220.73759999999751</v>
      </c>
      <c r="R162" s="235">
        <f t="shared" si="27"/>
        <v>3.6789599999999587</v>
      </c>
      <c r="S162" s="235">
        <f t="shared" si="28"/>
        <v>13.796099999999999</v>
      </c>
      <c r="T162" s="247">
        <f t="shared" si="19"/>
        <v>17.475059999999957</v>
      </c>
      <c r="U162" s="238"/>
      <c r="V162" s="520"/>
      <c r="W162" s="234" t="s">
        <v>233</v>
      </c>
      <c r="X162" s="235">
        <f t="shared" si="37"/>
        <v>0</v>
      </c>
      <c r="Y162" s="235">
        <f t="shared" si="35"/>
        <v>0</v>
      </c>
      <c r="Z162" s="235">
        <f t="shared" si="34"/>
        <v>0</v>
      </c>
      <c r="AA162" s="247">
        <f t="shared" si="20"/>
        <v>0</v>
      </c>
      <c r="AB162" s="238"/>
      <c r="AC162" s="520"/>
      <c r="AD162" s="234" t="s">
        <v>233</v>
      </c>
      <c r="AE162" s="235"/>
      <c r="AF162" s="235">
        <f t="shared" si="36"/>
        <v>0</v>
      </c>
      <c r="AG162" s="235"/>
      <c r="AH162" s="247">
        <f t="shared" si="21"/>
        <v>0</v>
      </c>
      <c r="AI162" s="238"/>
      <c r="AK162" s="240"/>
    </row>
    <row r="163" spans="1:37" x14ac:dyDescent="0.2">
      <c r="A163" s="514"/>
      <c r="B163" s="234" t="s">
        <v>234</v>
      </c>
      <c r="C163" s="235">
        <f t="shared" si="25"/>
        <v>1.704082474226936</v>
      </c>
      <c r="D163" s="235">
        <f t="shared" si="22"/>
        <v>2.8401374570448935E-2</v>
      </c>
      <c r="E163" s="245">
        <f t="shared" si="30"/>
        <v>0.85204123711341284</v>
      </c>
      <c r="F163" s="236">
        <f t="shared" si="38"/>
        <v>0.88044261168386173</v>
      </c>
      <c r="G163" s="239"/>
      <c r="H163" s="512"/>
      <c r="I163" s="234" t="s">
        <v>234</v>
      </c>
      <c r="J163" s="235">
        <f t="shared" si="26"/>
        <v>17.172124999998516</v>
      </c>
      <c r="K163" s="235">
        <f t="shared" si="23"/>
        <v>0.2862020833333086</v>
      </c>
      <c r="L163" s="235">
        <f t="shared" si="24"/>
        <v>5.7240416666666665</v>
      </c>
      <c r="M163" s="247">
        <f t="shared" si="33"/>
        <v>6.010243749999975</v>
      </c>
      <c r="N163" s="239"/>
      <c r="O163" s="520"/>
      <c r="P163" s="234" t="s">
        <v>234</v>
      </c>
      <c r="Q163" s="235">
        <f t="shared" si="29"/>
        <v>206.94149999999752</v>
      </c>
      <c r="R163" s="235">
        <f t="shared" si="27"/>
        <v>3.4490249999999585</v>
      </c>
      <c r="S163" s="235">
        <f t="shared" si="28"/>
        <v>13.796099999999999</v>
      </c>
      <c r="T163" s="247">
        <f t="shared" si="19"/>
        <v>17.245124999999959</v>
      </c>
      <c r="U163" s="238"/>
      <c r="V163" s="520"/>
      <c r="W163" s="234" t="s">
        <v>234</v>
      </c>
      <c r="X163" s="235">
        <f t="shared" si="37"/>
        <v>0</v>
      </c>
      <c r="Y163" s="235">
        <f t="shared" si="35"/>
        <v>0</v>
      </c>
      <c r="Z163" s="235">
        <f t="shared" si="34"/>
        <v>0</v>
      </c>
      <c r="AA163" s="247">
        <f t="shared" si="20"/>
        <v>0</v>
      </c>
      <c r="AB163" s="238"/>
      <c r="AC163" s="520"/>
      <c r="AD163" s="234" t="s">
        <v>234</v>
      </c>
      <c r="AE163" s="235"/>
      <c r="AF163" s="235">
        <f t="shared" si="36"/>
        <v>0</v>
      </c>
      <c r="AG163" s="235"/>
      <c r="AH163" s="247">
        <f t="shared" si="21"/>
        <v>0</v>
      </c>
      <c r="AI163" s="238"/>
      <c r="AK163" s="240"/>
    </row>
    <row r="164" spans="1:37" x14ac:dyDescent="0.2">
      <c r="A164" s="514"/>
      <c r="B164" s="234" t="s">
        <v>235</v>
      </c>
      <c r="C164" s="235">
        <f t="shared" si="25"/>
        <v>0.8520412371135232</v>
      </c>
      <c r="D164" s="235">
        <f t="shared" si="22"/>
        <v>1.4200687285225388E-2</v>
      </c>
      <c r="E164" s="245">
        <f t="shared" si="30"/>
        <v>0.85204123711341284</v>
      </c>
      <c r="F164" s="236">
        <f>D164+E164</f>
        <v>0.86624192439863823</v>
      </c>
      <c r="G164" s="239"/>
      <c r="H164" s="512"/>
      <c r="I164" s="234" t="s">
        <v>235</v>
      </c>
      <c r="J164" s="235">
        <f t="shared" si="26"/>
        <v>11.44808333333185</v>
      </c>
      <c r="K164" s="235">
        <f t="shared" si="23"/>
        <v>0.19080138888886419</v>
      </c>
      <c r="L164" s="235">
        <f t="shared" si="24"/>
        <v>5.7240416666666665</v>
      </c>
      <c r="M164" s="247">
        <f t="shared" si="33"/>
        <v>5.9148430555555302</v>
      </c>
      <c r="N164" s="239"/>
      <c r="O164" s="520"/>
      <c r="P164" s="234" t="s">
        <v>235</v>
      </c>
      <c r="Q164" s="235">
        <f t="shared" si="29"/>
        <v>193.14539999999752</v>
      </c>
      <c r="R164" s="235">
        <f t="shared" si="27"/>
        <v>3.2190899999999587</v>
      </c>
      <c r="S164" s="235">
        <f t="shared" si="28"/>
        <v>13.796099999999999</v>
      </c>
      <c r="T164" s="247">
        <f t="shared" ref="T164:T201" si="39">R164+S164</f>
        <v>17.015189999999958</v>
      </c>
      <c r="U164" s="238"/>
      <c r="V164" s="520"/>
      <c r="W164" s="234" t="s">
        <v>235</v>
      </c>
      <c r="X164" s="235">
        <f t="shared" si="37"/>
        <v>0</v>
      </c>
      <c r="Y164" s="235">
        <f t="shared" si="35"/>
        <v>0</v>
      </c>
      <c r="Z164" s="235">
        <f t="shared" si="34"/>
        <v>0</v>
      </c>
      <c r="AA164" s="247">
        <f t="shared" ref="AA164:AA227" si="40">Y164+Z164</f>
        <v>0</v>
      </c>
      <c r="AB164" s="238"/>
      <c r="AC164" s="520"/>
      <c r="AD164" s="234" t="s">
        <v>235</v>
      </c>
      <c r="AE164" s="235"/>
      <c r="AF164" s="235">
        <f t="shared" si="36"/>
        <v>0</v>
      </c>
      <c r="AG164" s="235"/>
      <c r="AH164" s="247">
        <f t="shared" ref="AH164:AH227" si="41">AF164+AG164</f>
        <v>0</v>
      </c>
      <c r="AI164" s="238"/>
      <c r="AK164" s="240"/>
    </row>
    <row r="165" spans="1:37" x14ac:dyDescent="0.2">
      <c r="A165" s="515"/>
      <c r="B165" s="234" t="s">
        <v>236</v>
      </c>
      <c r="C165" s="235"/>
      <c r="D165" s="235"/>
      <c r="E165" s="245"/>
      <c r="F165" s="236"/>
      <c r="G165" s="239">
        <f>SUM(D154:D165)</f>
        <v>0.9372453608247745</v>
      </c>
      <c r="H165" s="512"/>
      <c r="I165" s="234" t="s">
        <v>236</v>
      </c>
      <c r="J165" s="235">
        <f t="shared" si="26"/>
        <v>5.7240416666651832</v>
      </c>
      <c r="K165" s="235">
        <f t="shared" si="23"/>
        <v>9.5400694444419731E-2</v>
      </c>
      <c r="L165" s="235">
        <f t="shared" si="24"/>
        <v>5.7240416666666665</v>
      </c>
      <c r="M165" s="247">
        <f t="shared" si="33"/>
        <v>5.8194423611110864</v>
      </c>
      <c r="N165" s="239">
        <f>SUM(K154:K165)</f>
        <v>7.4412541666663694</v>
      </c>
      <c r="O165" s="521"/>
      <c r="P165" s="234" t="s">
        <v>236</v>
      </c>
      <c r="Q165" s="235">
        <f t="shared" si="29"/>
        <v>179.34929999999753</v>
      </c>
      <c r="R165" s="235">
        <f t="shared" si="27"/>
        <v>2.9891549999999589</v>
      </c>
      <c r="S165" s="235">
        <f t="shared" si="28"/>
        <v>13.796099999999999</v>
      </c>
      <c r="T165" s="247">
        <f t="shared" si="39"/>
        <v>16.785254999999957</v>
      </c>
      <c r="U165" s="238">
        <f>SUM(R154:R165)</f>
        <v>51.045569999999508</v>
      </c>
      <c r="V165" s="521"/>
      <c r="W165" s="234" t="s">
        <v>236</v>
      </c>
      <c r="X165" s="235">
        <f t="shared" si="37"/>
        <v>0</v>
      </c>
      <c r="Y165" s="235">
        <f t="shared" si="35"/>
        <v>0</v>
      </c>
      <c r="Z165" s="235">
        <f t="shared" si="34"/>
        <v>0</v>
      </c>
      <c r="AA165" s="247">
        <f t="shared" si="40"/>
        <v>0</v>
      </c>
      <c r="AB165" s="238">
        <f>SUM(Y154:Y165)</f>
        <v>0</v>
      </c>
      <c r="AC165" s="521"/>
      <c r="AD165" s="234" t="s">
        <v>236</v>
      </c>
      <c r="AE165" s="235"/>
      <c r="AF165" s="235">
        <f t="shared" si="36"/>
        <v>0</v>
      </c>
      <c r="AG165" s="235"/>
      <c r="AH165" s="247">
        <f t="shared" si="41"/>
        <v>0</v>
      </c>
      <c r="AI165" s="238">
        <f>SUM(AF154:AF165)</f>
        <v>0</v>
      </c>
      <c r="AJ165" s="208">
        <f>O154</f>
        <v>2034</v>
      </c>
      <c r="AK165" s="240">
        <f>G165+N165+U165+AB165+AI165</f>
        <v>59.424069527490651</v>
      </c>
    </row>
    <row r="166" spans="1:37" x14ac:dyDescent="0.2">
      <c r="A166" s="248"/>
      <c r="B166" s="234"/>
      <c r="C166" s="235"/>
      <c r="D166" s="235"/>
      <c r="E166" s="235"/>
      <c r="F166" s="236"/>
      <c r="G166" s="239"/>
      <c r="H166" s="248"/>
      <c r="I166" s="234"/>
      <c r="J166" s="235"/>
      <c r="K166" s="235"/>
      <c r="L166" s="235"/>
      <c r="M166" s="247"/>
      <c r="N166" s="239"/>
      <c r="O166" s="519">
        <f>O154+1</f>
        <v>2035</v>
      </c>
      <c r="P166" s="234" t="s">
        <v>225</v>
      </c>
      <c r="Q166" s="235">
        <f t="shared" si="29"/>
        <v>165.55319999999753</v>
      </c>
      <c r="R166" s="235">
        <f t="shared" si="27"/>
        <v>2.7592199999999587</v>
      </c>
      <c r="S166" s="235">
        <f t="shared" si="28"/>
        <v>13.796099999999999</v>
      </c>
      <c r="T166" s="247">
        <f t="shared" si="39"/>
        <v>16.555319999999959</v>
      </c>
      <c r="U166" s="237"/>
      <c r="V166" s="519">
        <v>2034</v>
      </c>
      <c r="W166" s="234" t="s">
        <v>225</v>
      </c>
      <c r="X166" s="235">
        <f t="shared" si="37"/>
        <v>0</v>
      </c>
      <c r="Y166" s="235">
        <f t="shared" si="35"/>
        <v>0</v>
      </c>
      <c r="Z166" s="235">
        <f>$X$7/Y$8</f>
        <v>0</v>
      </c>
      <c r="AA166" s="247">
        <f t="shared" si="40"/>
        <v>0</v>
      </c>
      <c r="AB166" s="237"/>
      <c r="AC166" s="519">
        <v>2034</v>
      </c>
      <c r="AD166" s="234" t="s">
        <v>225</v>
      </c>
      <c r="AE166" s="235"/>
      <c r="AF166" s="235">
        <f t="shared" si="36"/>
        <v>0</v>
      </c>
      <c r="AG166" s="235"/>
      <c r="AH166" s="247">
        <f t="shared" si="41"/>
        <v>0</v>
      </c>
      <c r="AI166" s="237"/>
      <c r="AK166" s="240"/>
    </row>
    <row r="167" spans="1:37" x14ac:dyDescent="0.2">
      <c r="A167" s="248"/>
      <c r="B167" s="234"/>
      <c r="C167" s="235"/>
      <c r="D167" s="235"/>
      <c r="E167" s="235"/>
      <c r="F167" s="236"/>
      <c r="G167" s="239"/>
      <c r="H167" s="248"/>
      <c r="I167" s="234"/>
      <c r="J167" s="235"/>
      <c r="K167" s="235"/>
      <c r="L167" s="235"/>
      <c r="M167" s="236"/>
      <c r="N167" s="239"/>
      <c r="O167" s="520"/>
      <c r="P167" s="234" t="s">
        <v>226</v>
      </c>
      <c r="Q167" s="235">
        <f t="shared" si="29"/>
        <v>151.75709999999754</v>
      </c>
      <c r="R167" s="235">
        <f t="shared" si="27"/>
        <v>2.5292849999999589</v>
      </c>
      <c r="S167" s="235">
        <f t="shared" si="28"/>
        <v>13.796099999999999</v>
      </c>
      <c r="T167" s="247">
        <f t="shared" si="39"/>
        <v>16.325384999999958</v>
      </c>
      <c r="U167" s="238"/>
      <c r="V167" s="520"/>
      <c r="W167" s="234" t="s">
        <v>226</v>
      </c>
      <c r="X167" s="235">
        <f t="shared" si="37"/>
        <v>0</v>
      </c>
      <c r="Y167" s="235">
        <f t="shared" si="35"/>
        <v>0</v>
      </c>
      <c r="Z167" s="235">
        <f t="shared" ref="Z167:Z230" si="42">$X$7/120</f>
        <v>0</v>
      </c>
      <c r="AA167" s="247">
        <f t="shared" si="40"/>
        <v>0</v>
      </c>
      <c r="AB167" s="238"/>
      <c r="AC167" s="520"/>
      <c r="AD167" s="234" t="s">
        <v>226</v>
      </c>
      <c r="AE167" s="235"/>
      <c r="AF167" s="235">
        <f t="shared" si="36"/>
        <v>0</v>
      </c>
      <c r="AG167" s="235"/>
      <c r="AH167" s="247">
        <f t="shared" si="41"/>
        <v>0</v>
      </c>
      <c r="AI167" s="238"/>
      <c r="AK167" s="240"/>
    </row>
    <row r="168" spans="1:37" x14ac:dyDescent="0.2">
      <c r="A168" s="248"/>
      <c r="B168" s="234"/>
      <c r="C168" s="235"/>
      <c r="D168" s="235"/>
      <c r="E168" s="235"/>
      <c r="F168" s="236"/>
      <c r="G168" s="239"/>
      <c r="H168" s="248"/>
      <c r="I168" s="234"/>
      <c r="J168" s="235"/>
      <c r="K168" s="235"/>
      <c r="L168" s="235"/>
      <c r="M168" s="236"/>
      <c r="N168" s="239"/>
      <c r="O168" s="520"/>
      <c r="P168" s="234" t="s">
        <v>227</v>
      </c>
      <c r="Q168" s="235">
        <f t="shared" si="29"/>
        <v>137.96099999999754</v>
      </c>
      <c r="R168" s="235">
        <f t="shared" si="27"/>
        <v>2.2993499999999591</v>
      </c>
      <c r="S168" s="235">
        <f t="shared" si="28"/>
        <v>13.796099999999999</v>
      </c>
      <c r="T168" s="247">
        <f t="shared" si="39"/>
        <v>16.095449999999957</v>
      </c>
      <c r="U168" s="238"/>
      <c r="V168" s="520"/>
      <c r="W168" s="234" t="s">
        <v>227</v>
      </c>
      <c r="X168" s="235">
        <f t="shared" si="37"/>
        <v>0</v>
      </c>
      <c r="Y168" s="235">
        <f t="shared" si="35"/>
        <v>0</v>
      </c>
      <c r="Z168" s="235">
        <f t="shared" si="42"/>
        <v>0</v>
      </c>
      <c r="AA168" s="247">
        <f t="shared" si="40"/>
        <v>0</v>
      </c>
      <c r="AB168" s="238"/>
      <c r="AC168" s="520"/>
      <c r="AD168" s="234" t="s">
        <v>227</v>
      </c>
      <c r="AE168" s="235"/>
      <c r="AF168" s="235">
        <f t="shared" si="36"/>
        <v>0</v>
      </c>
      <c r="AG168" s="235"/>
      <c r="AH168" s="247">
        <f t="shared" si="41"/>
        <v>0</v>
      </c>
      <c r="AI168" s="238"/>
      <c r="AK168" s="240"/>
    </row>
    <row r="169" spans="1:37" x14ac:dyDescent="0.2">
      <c r="A169" s="248"/>
      <c r="B169" s="234"/>
      <c r="C169" s="235"/>
      <c r="D169" s="235"/>
      <c r="E169" s="235"/>
      <c r="F169" s="236"/>
      <c r="G169" s="239"/>
      <c r="H169" s="248"/>
      <c r="I169" s="234"/>
      <c r="J169" s="235"/>
      <c r="K169" s="235"/>
      <c r="L169" s="235"/>
      <c r="M169" s="236"/>
      <c r="N169" s="239"/>
      <c r="O169" s="520"/>
      <c r="P169" s="234" t="s">
        <v>228</v>
      </c>
      <c r="Q169" s="235">
        <f t="shared" si="29"/>
        <v>124.16489999999754</v>
      </c>
      <c r="R169" s="235">
        <f t="shared" si="27"/>
        <v>2.0694149999999589</v>
      </c>
      <c r="S169" s="235">
        <f t="shared" si="28"/>
        <v>13.796099999999999</v>
      </c>
      <c r="T169" s="247">
        <f t="shared" si="39"/>
        <v>15.865514999999958</v>
      </c>
      <c r="U169" s="238"/>
      <c r="V169" s="520"/>
      <c r="W169" s="234" t="s">
        <v>228</v>
      </c>
      <c r="X169" s="235">
        <f t="shared" si="37"/>
        <v>0</v>
      </c>
      <c r="Y169" s="235">
        <f t="shared" si="35"/>
        <v>0</v>
      </c>
      <c r="Z169" s="235">
        <f t="shared" si="42"/>
        <v>0</v>
      </c>
      <c r="AA169" s="247">
        <f t="shared" si="40"/>
        <v>0</v>
      </c>
      <c r="AB169" s="238"/>
      <c r="AC169" s="520"/>
      <c r="AD169" s="234" t="s">
        <v>228</v>
      </c>
      <c r="AE169" s="235"/>
      <c r="AF169" s="235">
        <f t="shared" si="36"/>
        <v>0</v>
      </c>
      <c r="AG169" s="235"/>
      <c r="AH169" s="247">
        <f t="shared" si="41"/>
        <v>0</v>
      </c>
      <c r="AI169" s="238"/>
      <c r="AK169" s="240"/>
    </row>
    <row r="170" spans="1:37" x14ac:dyDescent="0.2">
      <c r="A170" s="248"/>
      <c r="B170" s="234"/>
      <c r="C170" s="235"/>
      <c r="D170" s="235"/>
      <c r="E170" s="235"/>
      <c r="F170" s="236"/>
      <c r="G170" s="239"/>
      <c r="H170" s="248"/>
      <c r="I170" s="234"/>
      <c r="J170" s="235"/>
      <c r="K170" s="235"/>
      <c r="L170" s="235"/>
      <c r="M170" s="236"/>
      <c r="N170" s="239"/>
      <c r="O170" s="520"/>
      <c r="P170" s="234" t="s">
        <v>229</v>
      </c>
      <c r="Q170" s="235">
        <f t="shared" si="29"/>
        <v>110.36879999999755</v>
      </c>
      <c r="R170" s="235">
        <f t="shared" si="27"/>
        <v>1.8394799999999591</v>
      </c>
      <c r="S170" s="235">
        <f t="shared" si="28"/>
        <v>13.796099999999999</v>
      </c>
      <c r="T170" s="247">
        <f t="shared" si="39"/>
        <v>15.635579999999958</v>
      </c>
      <c r="U170" s="238"/>
      <c r="V170" s="520"/>
      <c r="W170" s="234" t="s">
        <v>229</v>
      </c>
      <c r="X170" s="235">
        <f t="shared" si="37"/>
        <v>0</v>
      </c>
      <c r="Y170" s="235">
        <f t="shared" si="35"/>
        <v>0</v>
      </c>
      <c r="Z170" s="235">
        <f t="shared" si="42"/>
        <v>0</v>
      </c>
      <c r="AA170" s="247">
        <f t="shared" si="40"/>
        <v>0</v>
      </c>
      <c r="AB170" s="238"/>
      <c r="AC170" s="520"/>
      <c r="AD170" s="234" t="s">
        <v>229</v>
      </c>
      <c r="AE170" s="235"/>
      <c r="AF170" s="235">
        <f t="shared" si="36"/>
        <v>0</v>
      </c>
      <c r="AG170" s="235"/>
      <c r="AH170" s="247">
        <f t="shared" si="41"/>
        <v>0</v>
      </c>
      <c r="AI170" s="238"/>
      <c r="AK170" s="240"/>
    </row>
    <row r="171" spans="1:37" x14ac:dyDescent="0.2">
      <c r="A171" s="248"/>
      <c r="B171" s="234"/>
      <c r="C171" s="235"/>
      <c r="D171" s="235"/>
      <c r="E171" s="235"/>
      <c r="F171" s="236"/>
      <c r="G171" s="239"/>
      <c r="H171" s="248"/>
      <c r="I171" s="234"/>
      <c r="J171" s="235"/>
      <c r="K171" s="235"/>
      <c r="L171" s="235"/>
      <c r="M171" s="236"/>
      <c r="N171" s="239"/>
      <c r="O171" s="520"/>
      <c r="P171" s="234" t="s">
        <v>230</v>
      </c>
      <c r="Q171" s="235">
        <f t="shared" si="29"/>
        <v>96.572699999997553</v>
      </c>
      <c r="R171" s="235">
        <f t="shared" si="27"/>
        <v>1.6095449999999591</v>
      </c>
      <c r="S171" s="235">
        <f t="shared" si="28"/>
        <v>13.796099999999999</v>
      </c>
      <c r="T171" s="247">
        <f t="shared" si="39"/>
        <v>15.405644999999959</v>
      </c>
      <c r="U171" s="238"/>
      <c r="V171" s="520"/>
      <c r="W171" s="234" t="s">
        <v>230</v>
      </c>
      <c r="X171" s="235">
        <f t="shared" si="37"/>
        <v>0</v>
      </c>
      <c r="Y171" s="235">
        <f t="shared" si="35"/>
        <v>0</v>
      </c>
      <c r="Z171" s="235">
        <f t="shared" si="42"/>
        <v>0</v>
      </c>
      <c r="AA171" s="247">
        <f t="shared" si="40"/>
        <v>0</v>
      </c>
      <c r="AB171" s="238"/>
      <c r="AC171" s="520"/>
      <c r="AD171" s="234" t="s">
        <v>230</v>
      </c>
      <c r="AE171" s="235"/>
      <c r="AF171" s="235">
        <f t="shared" si="36"/>
        <v>0</v>
      </c>
      <c r="AG171" s="235"/>
      <c r="AH171" s="247">
        <f t="shared" si="41"/>
        <v>0</v>
      </c>
      <c r="AI171" s="238"/>
      <c r="AK171" s="240"/>
    </row>
    <row r="172" spans="1:37" x14ac:dyDescent="0.2">
      <c r="A172" s="248"/>
      <c r="B172" s="234"/>
      <c r="C172" s="235"/>
      <c r="D172" s="235"/>
      <c r="E172" s="235"/>
      <c r="F172" s="236"/>
      <c r="G172" s="239"/>
      <c r="H172" s="248"/>
      <c r="I172" s="234"/>
      <c r="J172" s="235"/>
      <c r="K172" s="235"/>
      <c r="L172" s="235"/>
      <c r="M172" s="236"/>
      <c r="N172" s="239"/>
      <c r="O172" s="520"/>
      <c r="P172" s="234" t="s">
        <v>231</v>
      </c>
      <c r="Q172" s="235">
        <f t="shared" si="29"/>
        <v>82.776599999997558</v>
      </c>
      <c r="R172" s="235">
        <f t="shared" si="27"/>
        <v>1.3796099999999594</v>
      </c>
      <c r="S172" s="235">
        <f t="shared" si="28"/>
        <v>13.796099999999999</v>
      </c>
      <c r="T172" s="247">
        <f t="shared" si="39"/>
        <v>15.175709999999958</v>
      </c>
      <c r="U172" s="238"/>
      <c r="V172" s="520"/>
      <c r="W172" s="234" t="s">
        <v>231</v>
      </c>
      <c r="X172" s="235">
        <f t="shared" si="37"/>
        <v>0</v>
      </c>
      <c r="Y172" s="235">
        <f t="shared" si="35"/>
        <v>0</v>
      </c>
      <c r="Z172" s="235">
        <f t="shared" si="42"/>
        <v>0</v>
      </c>
      <c r="AA172" s="247">
        <f t="shared" si="40"/>
        <v>0</v>
      </c>
      <c r="AB172" s="238"/>
      <c r="AC172" s="520"/>
      <c r="AD172" s="234" t="s">
        <v>231</v>
      </c>
      <c r="AE172" s="235"/>
      <c r="AF172" s="235">
        <f t="shared" si="36"/>
        <v>0</v>
      </c>
      <c r="AG172" s="235"/>
      <c r="AH172" s="247">
        <f t="shared" si="41"/>
        <v>0</v>
      </c>
      <c r="AI172" s="238"/>
      <c r="AK172" s="240"/>
    </row>
    <row r="173" spans="1:37" x14ac:dyDescent="0.2">
      <c r="A173" s="248"/>
      <c r="B173" s="234"/>
      <c r="C173" s="235"/>
      <c r="D173" s="235"/>
      <c r="E173" s="235"/>
      <c r="F173" s="236"/>
      <c r="G173" s="239"/>
      <c r="H173" s="248"/>
      <c r="I173" s="234"/>
      <c r="J173" s="235"/>
      <c r="K173" s="235"/>
      <c r="L173" s="235"/>
      <c r="M173" s="236"/>
      <c r="N173" s="239"/>
      <c r="O173" s="520"/>
      <c r="P173" s="234" t="s">
        <v>232</v>
      </c>
      <c r="Q173" s="235">
        <f t="shared" si="29"/>
        <v>68.980499999997562</v>
      </c>
      <c r="R173" s="235">
        <f t="shared" si="27"/>
        <v>1.1496749999999594</v>
      </c>
      <c r="S173" s="235">
        <f t="shared" si="28"/>
        <v>13.796099999999999</v>
      </c>
      <c r="T173" s="247">
        <f t="shared" si="39"/>
        <v>14.945774999999959</v>
      </c>
      <c r="U173" s="238"/>
      <c r="V173" s="520"/>
      <c r="W173" s="234" t="s">
        <v>232</v>
      </c>
      <c r="X173" s="235">
        <f t="shared" si="37"/>
        <v>0</v>
      </c>
      <c r="Y173" s="235">
        <f t="shared" si="35"/>
        <v>0</v>
      </c>
      <c r="Z173" s="235">
        <f t="shared" si="42"/>
        <v>0</v>
      </c>
      <c r="AA173" s="247">
        <f t="shared" si="40"/>
        <v>0</v>
      </c>
      <c r="AB173" s="238"/>
      <c r="AC173" s="520"/>
      <c r="AD173" s="234" t="s">
        <v>232</v>
      </c>
      <c r="AE173" s="235"/>
      <c r="AF173" s="235">
        <f t="shared" si="36"/>
        <v>0</v>
      </c>
      <c r="AG173" s="235"/>
      <c r="AH173" s="247">
        <f t="shared" si="41"/>
        <v>0</v>
      </c>
      <c r="AI173" s="238"/>
      <c r="AK173" s="240"/>
    </row>
    <row r="174" spans="1:37" x14ac:dyDescent="0.2">
      <c r="A174" s="248"/>
      <c r="B174" s="234"/>
      <c r="C174" s="235"/>
      <c r="D174" s="235"/>
      <c r="E174" s="235"/>
      <c r="F174" s="236"/>
      <c r="G174" s="239"/>
      <c r="H174" s="248"/>
      <c r="I174" s="234"/>
      <c r="J174" s="235"/>
      <c r="K174" s="235"/>
      <c r="L174" s="235"/>
      <c r="M174" s="236"/>
      <c r="N174" s="239"/>
      <c r="O174" s="520"/>
      <c r="P174" s="234" t="s">
        <v>233</v>
      </c>
      <c r="Q174" s="235">
        <f t="shared" si="29"/>
        <v>55.184399999997567</v>
      </c>
      <c r="R174" s="235">
        <f t="shared" si="27"/>
        <v>0.91973999999995948</v>
      </c>
      <c r="S174" s="235">
        <f t="shared" si="28"/>
        <v>13.796099999999999</v>
      </c>
      <c r="T174" s="247">
        <f t="shared" si="39"/>
        <v>14.715839999999959</v>
      </c>
      <c r="U174" s="238"/>
      <c r="V174" s="520"/>
      <c r="W174" s="234" t="s">
        <v>233</v>
      </c>
      <c r="X174" s="235">
        <f t="shared" si="37"/>
        <v>0</v>
      </c>
      <c r="Y174" s="235">
        <f t="shared" si="35"/>
        <v>0</v>
      </c>
      <c r="Z174" s="235">
        <f t="shared" si="42"/>
        <v>0</v>
      </c>
      <c r="AA174" s="247">
        <f t="shared" si="40"/>
        <v>0</v>
      </c>
      <c r="AB174" s="238"/>
      <c r="AC174" s="520"/>
      <c r="AD174" s="234" t="s">
        <v>233</v>
      </c>
      <c r="AE174" s="235"/>
      <c r="AF174" s="235">
        <f t="shared" si="36"/>
        <v>0</v>
      </c>
      <c r="AG174" s="235"/>
      <c r="AH174" s="247">
        <f t="shared" si="41"/>
        <v>0</v>
      </c>
      <c r="AI174" s="238"/>
      <c r="AK174" s="240"/>
    </row>
    <row r="175" spans="1:37" x14ac:dyDescent="0.2">
      <c r="A175" s="248"/>
      <c r="B175" s="234"/>
      <c r="C175" s="235"/>
      <c r="D175" s="235"/>
      <c r="E175" s="235"/>
      <c r="F175" s="236"/>
      <c r="G175" s="239"/>
      <c r="H175" s="248"/>
      <c r="I175" s="234"/>
      <c r="J175" s="235"/>
      <c r="K175" s="235"/>
      <c r="L175" s="235"/>
      <c r="M175" s="236"/>
      <c r="N175" s="239"/>
      <c r="O175" s="520"/>
      <c r="P175" s="234" t="s">
        <v>234</v>
      </c>
      <c r="Q175" s="235">
        <f t="shared" si="29"/>
        <v>41.388299999997571</v>
      </c>
      <c r="R175" s="235">
        <f t="shared" si="27"/>
        <v>0.68980499999995948</v>
      </c>
      <c r="S175" s="235">
        <f t="shared" si="28"/>
        <v>13.796099999999999</v>
      </c>
      <c r="T175" s="247">
        <f t="shared" si="39"/>
        <v>14.485904999999958</v>
      </c>
      <c r="U175" s="238"/>
      <c r="V175" s="520"/>
      <c r="W175" s="234" t="s">
        <v>234</v>
      </c>
      <c r="X175" s="235">
        <f t="shared" si="37"/>
        <v>0</v>
      </c>
      <c r="Y175" s="235">
        <f t="shared" si="35"/>
        <v>0</v>
      </c>
      <c r="Z175" s="235">
        <f t="shared" si="42"/>
        <v>0</v>
      </c>
      <c r="AA175" s="247">
        <f t="shared" si="40"/>
        <v>0</v>
      </c>
      <c r="AB175" s="238"/>
      <c r="AC175" s="520"/>
      <c r="AD175" s="234" t="s">
        <v>234</v>
      </c>
      <c r="AE175" s="235"/>
      <c r="AF175" s="235">
        <f t="shared" si="36"/>
        <v>0</v>
      </c>
      <c r="AG175" s="235"/>
      <c r="AH175" s="247">
        <f t="shared" si="41"/>
        <v>0</v>
      </c>
      <c r="AI175" s="238"/>
      <c r="AK175" s="240"/>
    </row>
    <row r="176" spans="1:37" x14ac:dyDescent="0.2">
      <c r="A176" s="248"/>
      <c r="B176" s="234"/>
      <c r="C176" s="235"/>
      <c r="D176" s="235"/>
      <c r="E176" s="235"/>
      <c r="F176" s="236"/>
      <c r="G176" s="239"/>
      <c r="H176" s="248"/>
      <c r="I176" s="234"/>
      <c r="J176" s="235"/>
      <c r="K176" s="235"/>
      <c r="L176" s="235"/>
      <c r="M176" s="236"/>
      <c r="N176" s="239"/>
      <c r="O176" s="520"/>
      <c r="P176" s="234" t="s">
        <v>235</v>
      </c>
      <c r="Q176" s="235">
        <f t="shared" si="29"/>
        <v>27.592199999997572</v>
      </c>
      <c r="R176" s="235">
        <f t="shared" si="27"/>
        <v>0.45986999999995959</v>
      </c>
      <c r="S176" s="235">
        <f t="shared" si="28"/>
        <v>13.796099999999999</v>
      </c>
      <c r="T176" s="247">
        <f t="shared" si="39"/>
        <v>14.255969999999959</v>
      </c>
      <c r="U176" s="238"/>
      <c r="V176" s="520"/>
      <c r="W176" s="234" t="s">
        <v>235</v>
      </c>
      <c r="X176" s="235">
        <f t="shared" si="37"/>
        <v>0</v>
      </c>
      <c r="Y176" s="235">
        <f t="shared" si="35"/>
        <v>0</v>
      </c>
      <c r="Z176" s="235">
        <f t="shared" si="42"/>
        <v>0</v>
      </c>
      <c r="AA176" s="247">
        <f t="shared" si="40"/>
        <v>0</v>
      </c>
      <c r="AB176" s="238"/>
      <c r="AC176" s="520"/>
      <c r="AD176" s="234" t="s">
        <v>235</v>
      </c>
      <c r="AE176" s="235"/>
      <c r="AF176" s="235">
        <f t="shared" si="36"/>
        <v>0</v>
      </c>
      <c r="AG176" s="235"/>
      <c r="AH176" s="247">
        <f t="shared" si="41"/>
        <v>0</v>
      </c>
      <c r="AI176" s="238"/>
      <c r="AK176" s="240"/>
    </row>
    <row r="177" spans="1:37" x14ac:dyDescent="0.2">
      <c r="A177" s="248"/>
      <c r="B177" s="234"/>
      <c r="C177" s="235"/>
      <c r="D177" s="235"/>
      <c r="E177" s="235"/>
      <c r="F177" s="236"/>
      <c r="G177" s="239"/>
      <c r="H177" s="248"/>
      <c r="I177" s="234"/>
      <c r="J177" s="235"/>
      <c r="K177" s="235"/>
      <c r="L177" s="235"/>
      <c r="M177" s="236"/>
      <c r="N177" s="239"/>
      <c r="O177" s="521"/>
      <c r="P177" s="234" t="s">
        <v>236</v>
      </c>
      <c r="Q177" s="235">
        <f t="shared" si="29"/>
        <v>13.796099999997573</v>
      </c>
      <c r="R177" s="235">
        <f t="shared" si="27"/>
        <v>0.22993499999995956</v>
      </c>
      <c r="S177" s="235">
        <f t="shared" si="28"/>
        <v>13.796099999999999</v>
      </c>
      <c r="T177" s="247">
        <f t="shared" si="39"/>
        <v>14.026034999999959</v>
      </c>
      <c r="U177" s="238">
        <f>SUM(R166:R177)</f>
        <v>17.934929999999511</v>
      </c>
      <c r="V177" s="521"/>
      <c r="W177" s="234" t="s">
        <v>236</v>
      </c>
      <c r="X177" s="235">
        <f t="shared" si="37"/>
        <v>0</v>
      </c>
      <c r="Y177" s="235">
        <f t="shared" si="35"/>
        <v>0</v>
      </c>
      <c r="Z177" s="235">
        <f t="shared" si="42"/>
        <v>0</v>
      </c>
      <c r="AA177" s="247">
        <f t="shared" si="40"/>
        <v>0</v>
      </c>
      <c r="AB177" s="238">
        <f>SUM(Y166:Y177)</f>
        <v>0</v>
      </c>
      <c r="AC177" s="521"/>
      <c r="AD177" s="234" t="s">
        <v>236</v>
      </c>
      <c r="AE177" s="235"/>
      <c r="AF177" s="235">
        <f t="shared" si="36"/>
        <v>0</v>
      </c>
      <c r="AG177" s="235"/>
      <c r="AH177" s="247">
        <f t="shared" si="41"/>
        <v>0</v>
      </c>
      <c r="AI177" s="238">
        <f>SUM(AF166:AF177)</f>
        <v>0</v>
      </c>
      <c r="AJ177" s="208">
        <f>O166</f>
        <v>2035</v>
      </c>
      <c r="AK177" s="240">
        <f>G177+N177+U177+AB177+AI177</f>
        <v>17.934929999999511</v>
      </c>
    </row>
    <row r="178" spans="1:37" x14ac:dyDescent="0.2">
      <c r="A178" s="248"/>
      <c r="B178" s="234"/>
      <c r="C178" s="235"/>
      <c r="D178" s="235"/>
      <c r="E178" s="235"/>
      <c r="F178" s="236"/>
      <c r="G178" s="239"/>
      <c r="H178" s="248"/>
      <c r="I178" s="234"/>
      <c r="J178" s="235"/>
      <c r="K178" s="235"/>
      <c r="L178" s="235"/>
      <c r="M178" s="236"/>
      <c r="N178" s="239"/>
      <c r="O178" s="519">
        <f>O166+1</f>
        <v>2036</v>
      </c>
      <c r="P178" s="234" t="s">
        <v>225</v>
      </c>
      <c r="Q178" s="235"/>
      <c r="R178" s="235"/>
      <c r="S178" s="235"/>
      <c r="T178" s="247">
        <f t="shared" si="39"/>
        <v>0</v>
      </c>
      <c r="U178" s="237"/>
      <c r="V178" s="519">
        <v>2035</v>
      </c>
      <c r="W178" s="234" t="s">
        <v>225</v>
      </c>
      <c r="X178" s="235">
        <f t="shared" si="37"/>
        <v>0</v>
      </c>
      <c r="Y178" s="235">
        <f t="shared" si="35"/>
        <v>0</v>
      </c>
      <c r="Z178" s="235">
        <f t="shared" si="42"/>
        <v>0</v>
      </c>
      <c r="AA178" s="247">
        <f t="shared" si="40"/>
        <v>0</v>
      </c>
      <c r="AB178" s="237"/>
      <c r="AC178" s="519">
        <v>2035</v>
      </c>
      <c r="AD178" s="234" t="s">
        <v>225</v>
      </c>
      <c r="AE178" s="235"/>
      <c r="AF178" s="235">
        <f t="shared" si="36"/>
        <v>0</v>
      </c>
      <c r="AG178" s="235"/>
      <c r="AH178" s="247">
        <f t="shared" si="41"/>
        <v>0</v>
      </c>
      <c r="AI178" s="237"/>
      <c r="AK178" s="240"/>
    </row>
    <row r="179" spans="1:37" x14ac:dyDescent="0.2">
      <c r="A179" s="248"/>
      <c r="B179" s="234"/>
      <c r="C179" s="235"/>
      <c r="D179" s="235"/>
      <c r="E179" s="235"/>
      <c r="F179" s="236"/>
      <c r="G179" s="239"/>
      <c r="H179" s="248"/>
      <c r="I179" s="234"/>
      <c r="J179" s="235"/>
      <c r="K179" s="235"/>
      <c r="L179" s="235"/>
      <c r="M179" s="236"/>
      <c r="N179" s="239"/>
      <c r="O179" s="520"/>
      <c r="P179" s="234" t="s">
        <v>226</v>
      </c>
      <c r="Q179" s="235"/>
      <c r="R179" s="235"/>
      <c r="S179" s="235"/>
      <c r="T179" s="247">
        <f t="shared" si="39"/>
        <v>0</v>
      </c>
      <c r="U179" s="238"/>
      <c r="V179" s="520"/>
      <c r="W179" s="234" t="s">
        <v>226</v>
      </c>
      <c r="X179" s="235">
        <f t="shared" si="37"/>
        <v>0</v>
      </c>
      <c r="Y179" s="235">
        <f t="shared" si="35"/>
        <v>0</v>
      </c>
      <c r="Z179" s="235">
        <f t="shared" si="42"/>
        <v>0</v>
      </c>
      <c r="AA179" s="247">
        <f t="shared" si="40"/>
        <v>0</v>
      </c>
      <c r="AB179" s="238"/>
      <c r="AC179" s="520"/>
      <c r="AD179" s="234" t="s">
        <v>226</v>
      </c>
      <c r="AE179" s="235"/>
      <c r="AF179" s="235">
        <f t="shared" si="36"/>
        <v>0</v>
      </c>
      <c r="AG179" s="235"/>
      <c r="AH179" s="247">
        <f t="shared" si="41"/>
        <v>0</v>
      </c>
      <c r="AI179" s="238"/>
      <c r="AK179" s="240"/>
    </row>
    <row r="180" spans="1:37" x14ac:dyDescent="0.2">
      <c r="A180" s="248"/>
      <c r="B180" s="234"/>
      <c r="C180" s="235"/>
      <c r="D180" s="235"/>
      <c r="E180" s="235"/>
      <c r="F180" s="236"/>
      <c r="G180" s="239"/>
      <c r="H180" s="248"/>
      <c r="I180" s="234"/>
      <c r="J180" s="235"/>
      <c r="K180" s="235"/>
      <c r="L180" s="235"/>
      <c r="M180" s="236"/>
      <c r="N180" s="239"/>
      <c r="O180" s="520"/>
      <c r="P180" s="234" t="s">
        <v>227</v>
      </c>
      <c r="Q180" s="235"/>
      <c r="R180" s="235"/>
      <c r="S180" s="235"/>
      <c r="T180" s="247">
        <f t="shared" si="39"/>
        <v>0</v>
      </c>
      <c r="U180" s="238"/>
      <c r="V180" s="520"/>
      <c r="W180" s="234" t="s">
        <v>227</v>
      </c>
      <c r="X180" s="235">
        <f t="shared" si="37"/>
        <v>0</v>
      </c>
      <c r="Y180" s="235">
        <f t="shared" si="35"/>
        <v>0</v>
      </c>
      <c r="Z180" s="235">
        <f t="shared" si="42"/>
        <v>0</v>
      </c>
      <c r="AA180" s="247">
        <f t="shared" si="40"/>
        <v>0</v>
      </c>
      <c r="AB180" s="238"/>
      <c r="AC180" s="520"/>
      <c r="AD180" s="234" t="s">
        <v>227</v>
      </c>
      <c r="AE180" s="235"/>
      <c r="AF180" s="235">
        <f t="shared" si="36"/>
        <v>0</v>
      </c>
      <c r="AG180" s="235"/>
      <c r="AH180" s="247">
        <f t="shared" si="41"/>
        <v>0</v>
      </c>
      <c r="AI180" s="238"/>
      <c r="AK180" s="240"/>
    </row>
    <row r="181" spans="1:37" x14ac:dyDescent="0.2">
      <c r="A181" s="248"/>
      <c r="B181" s="234"/>
      <c r="C181" s="235"/>
      <c r="D181" s="235"/>
      <c r="E181" s="235"/>
      <c r="F181" s="236"/>
      <c r="G181" s="239"/>
      <c r="H181" s="248"/>
      <c r="I181" s="234"/>
      <c r="J181" s="235"/>
      <c r="K181" s="235"/>
      <c r="L181" s="235"/>
      <c r="M181" s="236"/>
      <c r="N181" s="239"/>
      <c r="O181" s="520"/>
      <c r="P181" s="234" t="s">
        <v>228</v>
      </c>
      <c r="Q181" s="235"/>
      <c r="R181" s="235"/>
      <c r="S181" s="235"/>
      <c r="T181" s="247">
        <f t="shared" si="39"/>
        <v>0</v>
      </c>
      <c r="U181" s="238"/>
      <c r="V181" s="520"/>
      <c r="W181" s="234" t="s">
        <v>228</v>
      </c>
      <c r="X181" s="235">
        <f t="shared" si="37"/>
        <v>0</v>
      </c>
      <c r="Y181" s="235">
        <f t="shared" si="35"/>
        <v>0</v>
      </c>
      <c r="Z181" s="235">
        <f t="shared" si="42"/>
        <v>0</v>
      </c>
      <c r="AA181" s="247">
        <f t="shared" si="40"/>
        <v>0</v>
      </c>
      <c r="AB181" s="238"/>
      <c r="AC181" s="520"/>
      <c r="AD181" s="234" t="s">
        <v>228</v>
      </c>
      <c r="AE181" s="235"/>
      <c r="AF181" s="235">
        <f t="shared" si="36"/>
        <v>0</v>
      </c>
      <c r="AG181" s="235"/>
      <c r="AH181" s="247">
        <f t="shared" si="41"/>
        <v>0</v>
      </c>
      <c r="AI181" s="238"/>
      <c r="AK181" s="240"/>
    </row>
    <row r="182" spans="1:37" x14ac:dyDescent="0.2">
      <c r="A182" s="248"/>
      <c r="B182" s="234"/>
      <c r="C182" s="235"/>
      <c r="D182" s="235"/>
      <c r="E182" s="235"/>
      <c r="F182" s="236"/>
      <c r="G182" s="239"/>
      <c r="H182" s="248"/>
      <c r="I182" s="234"/>
      <c r="J182" s="235"/>
      <c r="K182" s="235"/>
      <c r="L182" s="235"/>
      <c r="M182" s="236"/>
      <c r="N182" s="239"/>
      <c r="O182" s="520"/>
      <c r="P182" s="234" t="s">
        <v>229</v>
      </c>
      <c r="Q182" s="235"/>
      <c r="R182" s="235"/>
      <c r="S182" s="235"/>
      <c r="T182" s="247">
        <f t="shared" si="39"/>
        <v>0</v>
      </c>
      <c r="U182" s="238"/>
      <c r="V182" s="520"/>
      <c r="W182" s="234" t="s">
        <v>229</v>
      </c>
      <c r="X182" s="235">
        <f t="shared" si="37"/>
        <v>0</v>
      </c>
      <c r="Y182" s="235">
        <f t="shared" si="35"/>
        <v>0</v>
      </c>
      <c r="Z182" s="235">
        <f t="shared" si="42"/>
        <v>0</v>
      </c>
      <c r="AA182" s="247">
        <f t="shared" si="40"/>
        <v>0</v>
      </c>
      <c r="AB182" s="238"/>
      <c r="AC182" s="520"/>
      <c r="AD182" s="234" t="s">
        <v>229</v>
      </c>
      <c r="AE182" s="235"/>
      <c r="AF182" s="235">
        <f t="shared" si="36"/>
        <v>0</v>
      </c>
      <c r="AG182" s="235"/>
      <c r="AH182" s="247">
        <f t="shared" si="41"/>
        <v>0</v>
      </c>
      <c r="AI182" s="238"/>
      <c r="AK182" s="240"/>
    </row>
    <row r="183" spans="1:37" x14ac:dyDescent="0.2">
      <c r="A183" s="248"/>
      <c r="B183" s="234"/>
      <c r="C183" s="235"/>
      <c r="D183" s="235"/>
      <c r="E183" s="235"/>
      <c r="F183" s="236"/>
      <c r="G183" s="239"/>
      <c r="H183" s="248"/>
      <c r="I183" s="234"/>
      <c r="J183" s="235"/>
      <c r="K183" s="235"/>
      <c r="L183" s="235"/>
      <c r="M183" s="236"/>
      <c r="N183" s="239"/>
      <c r="O183" s="520"/>
      <c r="P183" s="234" t="s">
        <v>230</v>
      </c>
      <c r="Q183" s="235"/>
      <c r="R183" s="235"/>
      <c r="S183" s="235"/>
      <c r="T183" s="247">
        <f t="shared" si="39"/>
        <v>0</v>
      </c>
      <c r="U183" s="238"/>
      <c r="V183" s="520"/>
      <c r="W183" s="234" t="s">
        <v>230</v>
      </c>
      <c r="X183" s="235">
        <f t="shared" si="37"/>
        <v>0</v>
      </c>
      <c r="Y183" s="235">
        <f t="shared" si="35"/>
        <v>0</v>
      </c>
      <c r="Z183" s="235">
        <f t="shared" si="42"/>
        <v>0</v>
      </c>
      <c r="AA183" s="247">
        <f t="shared" si="40"/>
        <v>0</v>
      </c>
      <c r="AB183" s="238"/>
      <c r="AC183" s="520"/>
      <c r="AD183" s="234" t="s">
        <v>230</v>
      </c>
      <c r="AE183" s="235"/>
      <c r="AF183" s="235">
        <f t="shared" si="36"/>
        <v>0</v>
      </c>
      <c r="AG183" s="235"/>
      <c r="AH183" s="247">
        <f t="shared" si="41"/>
        <v>0</v>
      </c>
      <c r="AI183" s="238"/>
      <c r="AK183" s="240"/>
    </row>
    <row r="184" spans="1:37" x14ac:dyDescent="0.2">
      <c r="A184" s="248"/>
      <c r="B184" s="234"/>
      <c r="C184" s="235"/>
      <c r="D184" s="235"/>
      <c r="E184" s="235"/>
      <c r="F184" s="236"/>
      <c r="G184" s="239"/>
      <c r="H184" s="248"/>
      <c r="I184" s="234"/>
      <c r="J184" s="235"/>
      <c r="K184" s="235"/>
      <c r="L184" s="235"/>
      <c r="M184" s="236"/>
      <c r="N184" s="239"/>
      <c r="O184" s="520"/>
      <c r="P184" s="234" t="s">
        <v>231</v>
      </c>
      <c r="Q184" s="235"/>
      <c r="R184" s="235"/>
      <c r="S184" s="235"/>
      <c r="T184" s="247">
        <f t="shared" si="39"/>
        <v>0</v>
      </c>
      <c r="U184" s="238"/>
      <c r="V184" s="520"/>
      <c r="W184" s="234" t="s">
        <v>231</v>
      </c>
      <c r="X184" s="235">
        <f t="shared" si="37"/>
        <v>0</v>
      </c>
      <c r="Y184" s="235">
        <f t="shared" si="35"/>
        <v>0</v>
      </c>
      <c r="Z184" s="235">
        <f t="shared" si="42"/>
        <v>0</v>
      </c>
      <c r="AA184" s="247">
        <f t="shared" si="40"/>
        <v>0</v>
      </c>
      <c r="AB184" s="238"/>
      <c r="AC184" s="520"/>
      <c r="AD184" s="234" t="s">
        <v>231</v>
      </c>
      <c r="AE184" s="235"/>
      <c r="AF184" s="235">
        <f t="shared" si="36"/>
        <v>0</v>
      </c>
      <c r="AG184" s="235"/>
      <c r="AH184" s="247">
        <f t="shared" si="41"/>
        <v>0</v>
      </c>
      <c r="AI184" s="238"/>
      <c r="AK184" s="240"/>
    </row>
    <row r="185" spans="1:37" x14ac:dyDescent="0.2">
      <c r="A185" s="248"/>
      <c r="B185" s="234"/>
      <c r="C185" s="235"/>
      <c r="D185" s="235"/>
      <c r="E185" s="235"/>
      <c r="F185" s="236"/>
      <c r="G185" s="239"/>
      <c r="H185" s="248"/>
      <c r="I185" s="234"/>
      <c r="J185" s="235"/>
      <c r="K185" s="235"/>
      <c r="L185" s="235"/>
      <c r="M185" s="236"/>
      <c r="N185" s="239"/>
      <c r="O185" s="520"/>
      <c r="P185" s="234" t="s">
        <v>232</v>
      </c>
      <c r="Q185" s="235"/>
      <c r="R185" s="235"/>
      <c r="S185" s="235"/>
      <c r="T185" s="247">
        <f t="shared" si="39"/>
        <v>0</v>
      </c>
      <c r="U185" s="238"/>
      <c r="V185" s="520"/>
      <c r="W185" s="234" t="s">
        <v>232</v>
      </c>
      <c r="X185" s="235">
        <f t="shared" si="37"/>
        <v>0</v>
      </c>
      <c r="Y185" s="235">
        <f t="shared" si="35"/>
        <v>0</v>
      </c>
      <c r="Z185" s="235">
        <f t="shared" si="42"/>
        <v>0</v>
      </c>
      <c r="AA185" s="247">
        <f t="shared" si="40"/>
        <v>0</v>
      </c>
      <c r="AB185" s="238"/>
      <c r="AC185" s="520"/>
      <c r="AD185" s="234" t="s">
        <v>232</v>
      </c>
      <c r="AE185" s="235"/>
      <c r="AF185" s="235">
        <f t="shared" si="36"/>
        <v>0</v>
      </c>
      <c r="AG185" s="235"/>
      <c r="AH185" s="247">
        <f t="shared" si="41"/>
        <v>0</v>
      </c>
      <c r="AI185" s="238"/>
      <c r="AK185" s="240"/>
    </row>
    <row r="186" spans="1:37" x14ac:dyDescent="0.2">
      <c r="A186" s="248"/>
      <c r="B186" s="234"/>
      <c r="C186" s="235"/>
      <c r="D186" s="235"/>
      <c r="E186" s="235"/>
      <c r="F186" s="236"/>
      <c r="G186" s="239"/>
      <c r="H186" s="248"/>
      <c r="I186" s="234"/>
      <c r="J186" s="235"/>
      <c r="K186" s="235"/>
      <c r="L186" s="235"/>
      <c r="M186" s="236"/>
      <c r="N186" s="239"/>
      <c r="O186" s="520"/>
      <c r="P186" s="234" t="s">
        <v>233</v>
      </c>
      <c r="Q186" s="235"/>
      <c r="R186" s="235"/>
      <c r="S186" s="235"/>
      <c r="T186" s="247">
        <f t="shared" si="39"/>
        <v>0</v>
      </c>
      <c r="U186" s="238"/>
      <c r="V186" s="520"/>
      <c r="W186" s="234" t="s">
        <v>233</v>
      </c>
      <c r="X186" s="235">
        <f t="shared" si="37"/>
        <v>0</v>
      </c>
      <c r="Y186" s="235">
        <f t="shared" si="35"/>
        <v>0</v>
      </c>
      <c r="Z186" s="235">
        <f t="shared" si="42"/>
        <v>0</v>
      </c>
      <c r="AA186" s="247">
        <f t="shared" si="40"/>
        <v>0</v>
      </c>
      <c r="AB186" s="238"/>
      <c r="AC186" s="520"/>
      <c r="AD186" s="234" t="s">
        <v>233</v>
      </c>
      <c r="AE186" s="235"/>
      <c r="AF186" s="235">
        <f t="shared" si="36"/>
        <v>0</v>
      </c>
      <c r="AG186" s="235"/>
      <c r="AH186" s="247">
        <f t="shared" si="41"/>
        <v>0</v>
      </c>
      <c r="AI186" s="238"/>
      <c r="AK186" s="240"/>
    </row>
    <row r="187" spans="1:37" x14ac:dyDescent="0.2">
      <c r="A187" s="248"/>
      <c r="B187" s="234"/>
      <c r="C187" s="235"/>
      <c r="D187" s="235"/>
      <c r="E187" s="235"/>
      <c r="F187" s="236"/>
      <c r="G187" s="239"/>
      <c r="H187" s="248"/>
      <c r="I187" s="234"/>
      <c r="J187" s="235"/>
      <c r="K187" s="235"/>
      <c r="L187" s="235"/>
      <c r="M187" s="236"/>
      <c r="N187" s="239"/>
      <c r="O187" s="520"/>
      <c r="P187" s="234" t="s">
        <v>234</v>
      </c>
      <c r="Q187" s="235"/>
      <c r="R187" s="235"/>
      <c r="S187" s="235"/>
      <c r="T187" s="247">
        <f t="shared" si="39"/>
        <v>0</v>
      </c>
      <c r="U187" s="238"/>
      <c r="V187" s="520"/>
      <c r="W187" s="234" t="s">
        <v>234</v>
      </c>
      <c r="X187" s="235">
        <f t="shared" si="37"/>
        <v>0</v>
      </c>
      <c r="Y187" s="235">
        <f t="shared" si="35"/>
        <v>0</v>
      </c>
      <c r="Z187" s="235">
        <f t="shared" si="42"/>
        <v>0</v>
      </c>
      <c r="AA187" s="247">
        <f t="shared" si="40"/>
        <v>0</v>
      </c>
      <c r="AB187" s="238"/>
      <c r="AC187" s="520"/>
      <c r="AD187" s="234" t="s">
        <v>234</v>
      </c>
      <c r="AE187" s="235"/>
      <c r="AF187" s="235">
        <f t="shared" si="36"/>
        <v>0</v>
      </c>
      <c r="AG187" s="235"/>
      <c r="AH187" s="247">
        <f t="shared" si="41"/>
        <v>0</v>
      </c>
      <c r="AI187" s="238"/>
      <c r="AK187" s="240"/>
    </row>
    <row r="188" spans="1:37" x14ac:dyDescent="0.2">
      <c r="A188" s="248"/>
      <c r="B188" s="234"/>
      <c r="C188" s="235"/>
      <c r="D188" s="235"/>
      <c r="E188" s="235"/>
      <c r="F188" s="236"/>
      <c r="G188" s="239"/>
      <c r="H188" s="248"/>
      <c r="I188" s="234"/>
      <c r="J188" s="235"/>
      <c r="K188" s="235"/>
      <c r="L188" s="235"/>
      <c r="M188" s="236"/>
      <c r="N188" s="239"/>
      <c r="O188" s="520"/>
      <c r="P188" s="234" t="s">
        <v>235</v>
      </c>
      <c r="Q188" s="235"/>
      <c r="R188" s="235"/>
      <c r="S188" s="235"/>
      <c r="T188" s="247">
        <f t="shared" si="39"/>
        <v>0</v>
      </c>
      <c r="U188" s="238"/>
      <c r="V188" s="520"/>
      <c r="W188" s="234" t="s">
        <v>235</v>
      </c>
      <c r="X188" s="235">
        <f t="shared" si="37"/>
        <v>0</v>
      </c>
      <c r="Y188" s="235">
        <f t="shared" si="35"/>
        <v>0</v>
      </c>
      <c r="Z188" s="235">
        <f t="shared" si="42"/>
        <v>0</v>
      </c>
      <c r="AA188" s="247">
        <f t="shared" si="40"/>
        <v>0</v>
      </c>
      <c r="AB188" s="238"/>
      <c r="AC188" s="520"/>
      <c r="AD188" s="234" t="s">
        <v>235</v>
      </c>
      <c r="AE188" s="235"/>
      <c r="AF188" s="235">
        <f t="shared" si="36"/>
        <v>0</v>
      </c>
      <c r="AG188" s="235"/>
      <c r="AH188" s="247">
        <f t="shared" si="41"/>
        <v>0</v>
      </c>
      <c r="AI188" s="238"/>
      <c r="AK188" s="240"/>
    </row>
    <row r="189" spans="1:37" x14ac:dyDescent="0.2">
      <c r="A189" s="248"/>
      <c r="B189" s="234"/>
      <c r="C189" s="235"/>
      <c r="D189" s="235"/>
      <c r="E189" s="235"/>
      <c r="F189" s="236"/>
      <c r="G189" s="239"/>
      <c r="H189" s="248"/>
      <c r="I189" s="234"/>
      <c r="J189" s="235"/>
      <c r="K189" s="235"/>
      <c r="L189" s="235"/>
      <c r="M189" s="236"/>
      <c r="N189" s="239"/>
      <c r="O189" s="521"/>
      <c r="P189" s="234" t="s">
        <v>236</v>
      </c>
      <c r="Q189" s="235"/>
      <c r="R189" s="235"/>
      <c r="S189" s="235"/>
      <c r="T189" s="247">
        <f t="shared" si="39"/>
        <v>0</v>
      </c>
      <c r="U189" s="239">
        <f>SUM(R178:R189)</f>
        <v>0</v>
      </c>
      <c r="V189" s="521"/>
      <c r="W189" s="234" t="s">
        <v>236</v>
      </c>
      <c r="X189" s="235">
        <f t="shared" si="37"/>
        <v>0</v>
      </c>
      <c r="Y189" s="235">
        <f t="shared" si="35"/>
        <v>0</v>
      </c>
      <c r="Z189" s="235">
        <f t="shared" si="42"/>
        <v>0</v>
      </c>
      <c r="AA189" s="247">
        <f t="shared" si="40"/>
        <v>0</v>
      </c>
      <c r="AB189" s="239">
        <f>SUM(Y178:Y189)</f>
        <v>0</v>
      </c>
      <c r="AC189" s="521"/>
      <c r="AD189" s="234" t="s">
        <v>236</v>
      </c>
      <c r="AE189" s="235"/>
      <c r="AF189" s="235">
        <f t="shared" si="36"/>
        <v>0</v>
      </c>
      <c r="AG189" s="235"/>
      <c r="AH189" s="247">
        <f t="shared" si="41"/>
        <v>0</v>
      </c>
      <c r="AI189" s="239">
        <f>SUM(AF178:AF189)</f>
        <v>0</v>
      </c>
      <c r="AJ189" s="208">
        <f>O178</f>
        <v>2036</v>
      </c>
      <c r="AK189" s="240">
        <f>G189+N189+U189+AB189+AI189</f>
        <v>0</v>
      </c>
    </row>
    <row r="190" spans="1:37" x14ac:dyDescent="0.2">
      <c r="A190" s="248"/>
      <c r="B190" s="234"/>
      <c r="C190" s="235"/>
      <c r="D190" s="235"/>
      <c r="E190" s="235"/>
      <c r="F190" s="236"/>
      <c r="G190" s="239"/>
      <c r="H190" s="248"/>
      <c r="I190" s="234"/>
      <c r="J190" s="235"/>
      <c r="K190" s="235"/>
      <c r="L190" s="235"/>
      <c r="M190" s="236"/>
      <c r="N190" s="239"/>
      <c r="O190" s="519">
        <v>2036</v>
      </c>
      <c r="P190" s="234" t="s">
        <v>225</v>
      </c>
      <c r="Q190" s="235"/>
      <c r="R190" s="235"/>
      <c r="S190" s="235"/>
      <c r="T190" s="236">
        <f t="shared" si="39"/>
        <v>0</v>
      </c>
      <c r="U190" s="239"/>
      <c r="V190" s="519">
        <v>2036</v>
      </c>
      <c r="W190" s="234" t="s">
        <v>225</v>
      </c>
      <c r="X190" s="235">
        <f t="shared" si="37"/>
        <v>0</v>
      </c>
      <c r="Y190" s="235">
        <f>X190*$Y$7/12</f>
        <v>0</v>
      </c>
      <c r="Z190" s="235">
        <f t="shared" si="42"/>
        <v>0</v>
      </c>
      <c r="AA190" s="247">
        <f t="shared" si="40"/>
        <v>0</v>
      </c>
      <c r="AB190" s="249"/>
      <c r="AC190" s="519">
        <v>2036</v>
      </c>
      <c r="AD190" s="234" t="s">
        <v>225</v>
      </c>
      <c r="AE190" s="235">
        <f>AE7-AE8</f>
        <v>0</v>
      </c>
      <c r="AF190" s="235">
        <f>AE190*$Y$7/12</f>
        <v>0</v>
      </c>
      <c r="AG190" s="235">
        <f>AE$7/AF$8</f>
        <v>0</v>
      </c>
      <c r="AH190" s="247">
        <f t="shared" si="41"/>
        <v>0</v>
      </c>
      <c r="AI190" s="249"/>
      <c r="AK190" s="240"/>
    </row>
    <row r="191" spans="1:37" x14ac:dyDescent="0.2">
      <c r="A191" s="248"/>
      <c r="B191" s="234"/>
      <c r="C191" s="235"/>
      <c r="D191" s="235"/>
      <c r="E191" s="235"/>
      <c r="F191" s="236"/>
      <c r="G191" s="239"/>
      <c r="H191" s="248"/>
      <c r="I191" s="234"/>
      <c r="J191" s="235"/>
      <c r="K191" s="235"/>
      <c r="L191" s="235"/>
      <c r="M191" s="236"/>
      <c r="N191" s="239"/>
      <c r="O191" s="520"/>
      <c r="P191" s="234" t="s">
        <v>226</v>
      </c>
      <c r="Q191" s="235"/>
      <c r="R191" s="235"/>
      <c r="S191" s="235"/>
      <c r="T191" s="236">
        <f t="shared" si="39"/>
        <v>0</v>
      </c>
      <c r="U191" s="239"/>
      <c r="V191" s="520"/>
      <c r="W191" s="234" t="s">
        <v>226</v>
      </c>
      <c r="X191" s="235">
        <f t="shared" si="37"/>
        <v>0</v>
      </c>
      <c r="Y191" s="235">
        <f t="shared" si="35"/>
        <v>0</v>
      </c>
      <c r="Z191" s="235">
        <f t="shared" si="42"/>
        <v>0</v>
      </c>
      <c r="AA191" s="247">
        <f t="shared" si="40"/>
        <v>0</v>
      </c>
      <c r="AB191" s="250"/>
      <c r="AC191" s="520"/>
      <c r="AD191" s="234" t="s">
        <v>226</v>
      </c>
      <c r="AE191" s="235">
        <f>AE190-AG190</f>
        <v>0</v>
      </c>
      <c r="AF191" s="235">
        <f t="shared" si="36"/>
        <v>0</v>
      </c>
      <c r="AG191" s="235">
        <f>AE$7/AF$8</f>
        <v>0</v>
      </c>
      <c r="AH191" s="247">
        <f t="shared" si="41"/>
        <v>0</v>
      </c>
      <c r="AI191" s="250"/>
      <c r="AK191" s="240"/>
    </row>
    <row r="192" spans="1:37" x14ac:dyDescent="0.2">
      <c r="A192" s="248"/>
      <c r="B192" s="234"/>
      <c r="C192" s="235"/>
      <c r="D192" s="235"/>
      <c r="E192" s="235"/>
      <c r="F192" s="236"/>
      <c r="G192" s="239"/>
      <c r="H192" s="248"/>
      <c r="I192" s="234"/>
      <c r="J192" s="235"/>
      <c r="K192" s="235"/>
      <c r="L192" s="235"/>
      <c r="M192" s="236"/>
      <c r="N192" s="239"/>
      <c r="O192" s="520"/>
      <c r="P192" s="234" t="s">
        <v>227</v>
      </c>
      <c r="Q192" s="235"/>
      <c r="R192" s="235"/>
      <c r="S192" s="235"/>
      <c r="T192" s="236">
        <f t="shared" si="39"/>
        <v>0</v>
      </c>
      <c r="U192" s="239"/>
      <c r="V192" s="520"/>
      <c r="W192" s="234" t="s">
        <v>227</v>
      </c>
      <c r="X192" s="235">
        <f t="shared" si="37"/>
        <v>0</v>
      </c>
      <c r="Y192" s="235">
        <f t="shared" si="35"/>
        <v>0</v>
      </c>
      <c r="Z192" s="235">
        <f t="shared" si="42"/>
        <v>0</v>
      </c>
      <c r="AA192" s="247">
        <f t="shared" si="40"/>
        <v>0</v>
      </c>
      <c r="AB192" s="250"/>
      <c r="AC192" s="520"/>
      <c r="AD192" s="234" t="s">
        <v>227</v>
      </c>
      <c r="AE192" s="235">
        <f t="shared" ref="AE192:AE203" si="43">AE191-AG191</f>
        <v>0</v>
      </c>
      <c r="AF192" s="235">
        <f t="shared" si="36"/>
        <v>0</v>
      </c>
      <c r="AG192" s="235">
        <f t="shared" ref="AG192:AG255" si="44">AE$7/AF$8</f>
        <v>0</v>
      </c>
      <c r="AH192" s="247">
        <f t="shared" si="41"/>
        <v>0</v>
      </c>
      <c r="AI192" s="250"/>
      <c r="AK192" s="240"/>
    </row>
    <row r="193" spans="1:37" x14ac:dyDescent="0.2">
      <c r="A193" s="248"/>
      <c r="B193" s="234"/>
      <c r="C193" s="235"/>
      <c r="D193" s="235"/>
      <c r="E193" s="235"/>
      <c r="F193" s="236"/>
      <c r="G193" s="239"/>
      <c r="H193" s="248"/>
      <c r="I193" s="234"/>
      <c r="J193" s="235"/>
      <c r="K193" s="235"/>
      <c r="L193" s="235"/>
      <c r="M193" s="236"/>
      <c r="N193" s="239"/>
      <c r="O193" s="520"/>
      <c r="P193" s="234" t="s">
        <v>228</v>
      </c>
      <c r="Q193" s="235"/>
      <c r="R193" s="235"/>
      <c r="S193" s="235"/>
      <c r="T193" s="236">
        <f t="shared" si="39"/>
        <v>0</v>
      </c>
      <c r="U193" s="239"/>
      <c r="V193" s="520"/>
      <c r="W193" s="234" t="s">
        <v>228</v>
      </c>
      <c r="X193" s="235">
        <f t="shared" si="37"/>
        <v>0</v>
      </c>
      <c r="Y193" s="235">
        <f t="shared" si="35"/>
        <v>0</v>
      </c>
      <c r="Z193" s="235">
        <f t="shared" si="42"/>
        <v>0</v>
      </c>
      <c r="AA193" s="247">
        <f t="shared" si="40"/>
        <v>0</v>
      </c>
      <c r="AB193" s="250"/>
      <c r="AC193" s="520"/>
      <c r="AD193" s="234" t="s">
        <v>228</v>
      </c>
      <c r="AE193" s="235">
        <f t="shared" si="43"/>
        <v>0</v>
      </c>
      <c r="AF193" s="235">
        <f t="shared" si="36"/>
        <v>0</v>
      </c>
      <c r="AG193" s="235">
        <f t="shared" si="44"/>
        <v>0</v>
      </c>
      <c r="AH193" s="247">
        <f t="shared" si="41"/>
        <v>0</v>
      </c>
      <c r="AI193" s="250"/>
      <c r="AK193" s="240"/>
    </row>
    <row r="194" spans="1:37" x14ac:dyDescent="0.2">
      <c r="A194" s="248"/>
      <c r="B194" s="234"/>
      <c r="C194" s="235"/>
      <c r="D194" s="235"/>
      <c r="E194" s="235"/>
      <c r="F194" s="236"/>
      <c r="G194" s="239"/>
      <c r="H194" s="248"/>
      <c r="I194" s="234"/>
      <c r="J194" s="235"/>
      <c r="K194" s="235"/>
      <c r="L194" s="235"/>
      <c r="M194" s="236"/>
      <c r="N194" s="239"/>
      <c r="O194" s="520"/>
      <c r="P194" s="234" t="s">
        <v>229</v>
      </c>
      <c r="Q194" s="235"/>
      <c r="R194" s="235"/>
      <c r="S194" s="235"/>
      <c r="T194" s="236">
        <f t="shared" si="39"/>
        <v>0</v>
      </c>
      <c r="U194" s="239"/>
      <c r="V194" s="520"/>
      <c r="W194" s="234" t="s">
        <v>229</v>
      </c>
      <c r="X194" s="235">
        <f t="shared" si="37"/>
        <v>0</v>
      </c>
      <c r="Y194" s="235">
        <f t="shared" si="35"/>
        <v>0</v>
      </c>
      <c r="Z194" s="235">
        <f t="shared" si="42"/>
        <v>0</v>
      </c>
      <c r="AA194" s="247">
        <f t="shared" si="40"/>
        <v>0</v>
      </c>
      <c r="AB194" s="250"/>
      <c r="AC194" s="520"/>
      <c r="AD194" s="234" t="s">
        <v>229</v>
      </c>
      <c r="AE194" s="235">
        <f t="shared" si="43"/>
        <v>0</v>
      </c>
      <c r="AF194" s="235">
        <f t="shared" si="36"/>
        <v>0</v>
      </c>
      <c r="AG194" s="235">
        <f t="shared" si="44"/>
        <v>0</v>
      </c>
      <c r="AH194" s="247">
        <f t="shared" si="41"/>
        <v>0</v>
      </c>
      <c r="AI194" s="250"/>
      <c r="AK194" s="240"/>
    </row>
    <row r="195" spans="1:37" x14ac:dyDescent="0.2">
      <c r="A195" s="248"/>
      <c r="B195" s="234"/>
      <c r="C195" s="235"/>
      <c r="D195" s="235"/>
      <c r="E195" s="235"/>
      <c r="F195" s="236"/>
      <c r="G195" s="239"/>
      <c r="H195" s="248"/>
      <c r="I195" s="234"/>
      <c r="J195" s="235"/>
      <c r="K195" s="235"/>
      <c r="L195" s="235"/>
      <c r="M195" s="236"/>
      <c r="N195" s="239"/>
      <c r="O195" s="520"/>
      <c r="P195" s="234" t="s">
        <v>230</v>
      </c>
      <c r="Q195" s="235"/>
      <c r="R195" s="235"/>
      <c r="S195" s="235"/>
      <c r="T195" s="236">
        <f t="shared" si="39"/>
        <v>0</v>
      </c>
      <c r="U195" s="239"/>
      <c r="V195" s="520"/>
      <c r="W195" s="234" t="s">
        <v>230</v>
      </c>
      <c r="X195" s="235">
        <f t="shared" si="37"/>
        <v>0</v>
      </c>
      <c r="Y195" s="235">
        <f t="shared" si="35"/>
        <v>0</v>
      </c>
      <c r="Z195" s="235">
        <f t="shared" si="42"/>
        <v>0</v>
      </c>
      <c r="AA195" s="247">
        <f t="shared" si="40"/>
        <v>0</v>
      </c>
      <c r="AB195" s="250"/>
      <c r="AC195" s="520"/>
      <c r="AD195" s="234" t="s">
        <v>230</v>
      </c>
      <c r="AE195" s="235">
        <f t="shared" si="43"/>
        <v>0</v>
      </c>
      <c r="AF195" s="235">
        <f t="shared" si="36"/>
        <v>0</v>
      </c>
      <c r="AG195" s="235">
        <f t="shared" si="44"/>
        <v>0</v>
      </c>
      <c r="AH195" s="247">
        <f t="shared" si="41"/>
        <v>0</v>
      </c>
      <c r="AI195" s="250"/>
      <c r="AK195" s="240"/>
    </row>
    <row r="196" spans="1:37" x14ac:dyDescent="0.2">
      <c r="A196" s="248"/>
      <c r="B196" s="234"/>
      <c r="C196" s="235"/>
      <c r="D196" s="235"/>
      <c r="E196" s="235"/>
      <c r="F196" s="236"/>
      <c r="G196" s="239"/>
      <c r="H196" s="248"/>
      <c r="I196" s="234"/>
      <c r="J196" s="235"/>
      <c r="K196" s="235"/>
      <c r="L196" s="235"/>
      <c r="M196" s="236"/>
      <c r="N196" s="239"/>
      <c r="O196" s="520"/>
      <c r="P196" s="234" t="s">
        <v>231</v>
      </c>
      <c r="Q196" s="235"/>
      <c r="R196" s="235"/>
      <c r="S196" s="235"/>
      <c r="T196" s="236">
        <f t="shared" si="39"/>
        <v>0</v>
      </c>
      <c r="U196" s="239"/>
      <c r="V196" s="520"/>
      <c r="W196" s="234" t="s">
        <v>231</v>
      </c>
      <c r="X196" s="235">
        <f t="shared" si="37"/>
        <v>0</v>
      </c>
      <c r="Y196" s="235">
        <f t="shared" si="35"/>
        <v>0</v>
      </c>
      <c r="Z196" s="235">
        <f t="shared" si="42"/>
        <v>0</v>
      </c>
      <c r="AA196" s="247">
        <f t="shared" si="40"/>
        <v>0</v>
      </c>
      <c r="AB196" s="250"/>
      <c r="AC196" s="520"/>
      <c r="AD196" s="234" t="s">
        <v>231</v>
      </c>
      <c r="AE196" s="235">
        <f t="shared" si="43"/>
        <v>0</v>
      </c>
      <c r="AF196" s="235">
        <f t="shared" si="36"/>
        <v>0</v>
      </c>
      <c r="AG196" s="235">
        <f t="shared" si="44"/>
        <v>0</v>
      </c>
      <c r="AH196" s="247">
        <f t="shared" si="41"/>
        <v>0</v>
      </c>
      <c r="AI196" s="250"/>
      <c r="AK196" s="240"/>
    </row>
    <row r="197" spans="1:37" x14ac:dyDescent="0.2">
      <c r="A197" s="248"/>
      <c r="B197" s="234"/>
      <c r="C197" s="235"/>
      <c r="D197" s="235"/>
      <c r="E197" s="235"/>
      <c r="F197" s="236"/>
      <c r="G197" s="239"/>
      <c r="H197" s="248"/>
      <c r="I197" s="234"/>
      <c r="J197" s="235"/>
      <c r="K197" s="235"/>
      <c r="L197" s="235"/>
      <c r="M197" s="236"/>
      <c r="N197" s="239"/>
      <c r="O197" s="520"/>
      <c r="P197" s="234" t="s">
        <v>232</v>
      </c>
      <c r="Q197" s="235"/>
      <c r="R197" s="235"/>
      <c r="S197" s="235"/>
      <c r="T197" s="236">
        <f t="shared" si="39"/>
        <v>0</v>
      </c>
      <c r="U197" s="239"/>
      <c r="V197" s="520"/>
      <c r="W197" s="234" t="s">
        <v>232</v>
      </c>
      <c r="X197" s="235">
        <f t="shared" si="37"/>
        <v>0</v>
      </c>
      <c r="Y197" s="235">
        <f t="shared" si="35"/>
        <v>0</v>
      </c>
      <c r="Z197" s="235">
        <f t="shared" si="42"/>
        <v>0</v>
      </c>
      <c r="AA197" s="247">
        <f t="shared" si="40"/>
        <v>0</v>
      </c>
      <c r="AB197" s="250"/>
      <c r="AC197" s="520"/>
      <c r="AD197" s="234" t="s">
        <v>232</v>
      </c>
      <c r="AE197" s="235">
        <f t="shared" si="43"/>
        <v>0</v>
      </c>
      <c r="AF197" s="235">
        <f t="shared" si="36"/>
        <v>0</v>
      </c>
      <c r="AG197" s="235">
        <f t="shared" si="44"/>
        <v>0</v>
      </c>
      <c r="AH197" s="247">
        <f t="shared" si="41"/>
        <v>0</v>
      </c>
      <c r="AI197" s="250"/>
      <c r="AK197" s="240"/>
    </row>
    <row r="198" spans="1:37" x14ac:dyDescent="0.2">
      <c r="A198" s="248"/>
      <c r="B198" s="234"/>
      <c r="C198" s="235"/>
      <c r="D198" s="235"/>
      <c r="E198" s="235"/>
      <c r="F198" s="236"/>
      <c r="G198" s="239"/>
      <c r="H198" s="248"/>
      <c r="I198" s="234"/>
      <c r="J198" s="235"/>
      <c r="K198" s="235"/>
      <c r="L198" s="235"/>
      <c r="M198" s="236"/>
      <c r="N198" s="239"/>
      <c r="O198" s="520"/>
      <c r="P198" s="234" t="s">
        <v>233</v>
      </c>
      <c r="Q198" s="235"/>
      <c r="R198" s="235"/>
      <c r="S198" s="235"/>
      <c r="T198" s="236">
        <f t="shared" si="39"/>
        <v>0</v>
      </c>
      <c r="U198" s="239"/>
      <c r="V198" s="520"/>
      <c r="W198" s="234" t="s">
        <v>233</v>
      </c>
      <c r="X198" s="235">
        <f t="shared" si="37"/>
        <v>0</v>
      </c>
      <c r="Y198" s="235">
        <f t="shared" si="35"/>
        <v>0</v>
      </c>
      <c r="Z198" s="235">
        <f t="shared" si="42"/>
        <v>0</v>
      </c>
      <c r="AA198" s="247">
        <f t="shared" si="40"/>
        <v>0</v>
      </c>
      <c r="AB198" s="250"/>
      <c r="AC198" s="520"/>
      <c r="AD198" s="234" t="s">
        <v>233</v>
      </c>
      <c r="AE198" s="235">
        <f t="shared" si="43"/>
        <v>0</v>
      </c>
      <c r="AF198" s="235">
        <f t="shared" si="36"/>
        <v>0</v>
      </c>
      <c r="AG198" s="235">
        <f t="shared" si="44"/>
        <v>0</v>
      </c>
      <c r="AH198" s="247">
        <f t="shared" si="41"/>
        <v>0</v>
      </c>
      <c r="AI198" s="250"/>
      <c r="AK198" s="240"/>
    </row>
    <row r="199" spans="1:37" x14ac:dyDescent="0.2">
      <c r="A199" s="248"/>
      <c r="B199" s="234"/>
      <c r="C199" s="235"/>
      <c r="D199" s="235"/>
      <c r="E199" s="235"/>
      <c r="F199" s="236"/>
      <c r="G199" s="239"/>
      <c r="H199" s="248"/>
      <c r="I199" s="234"/>
      <c r="J199" s="235"/>
      <c r="K199" s="235"/>
      <c r="L199" s="235"/>
      <c r="M199" s="236"/>
      <c r="N199" s="239"/>
      <c r="O199" s="520"/>
      <c r="P199" s="234" t="s">
        <v>234</v>
      </c>
      <c r="Q199" s="235"/>
      <c r="R199" s="235"/>
      <c r="S199" s="235"/>
      <c r="T199" s="236">
        <f t="shared" si="39"/>
        <v>0</v>
      </c>
      <c r="U199" s="239"/>
      <c r="V199" s="520"/>
      <c r="W199" s="234" t="s">
        <v>234</v>
      </c>
      <c r="X199" s="235">
        <f t="shared" si="37"/>
        <v>0</v>
      </c>
      <c r="Y199" s="235">
        <f t="shared" si="35"/>
        <v>0</v>
      </c>
      <c r="Z199" s="235">
        <f t="shared" si="42"/>
        <v>0</v>
      </c>
      <c r="AA199" s="247">
        <f t="shared" si="40"/>
        <v>0</v>
      </c>
      <c r="AB199" s="250"/>
      <c r="AC199" s="520"/>
      <c r="AD199" s="234" t="s">
        <v>234</v>
      </c>
      <c r="AE199" s="235">
        <f t="shared" si="43"/>
        <v>0</v>
      </c>
      <c r="AF199" s="235">
        <f t="shared" si="36"/>
        <v>0</v>
      </c>
      <c r="AG199" s="235">
        <f t="shared" si="44"/>
        <v>0</v>
      </c>
      <c r="AH199" s="247">
        <f t="shared" si="41"/>
        <v>0</v>
      </c>
      <c r="AI199" s="250"/>
      <c r="AK199" s="240"/>
    </row>
    <row r="200" spans="1:37" x14ac:dyDescent="0.2">
      <c r="A200" s="248"/>
      <c r="B200" s="234"/>
      <c r="C200" s="235"/>
      <c r="D200" s="235"/>
      <c r="E200" s="235"/>
      <c r="F200" s="236"/>
      <c r="G200" s="239"/>
      <c r="H200" s="248"/>
      <c r="I200" s="234"/>
      <c r="J200" s="235"/>
      <c r="K200" s="235"/>
      <c r="L200" s="235"/>
      <c r="M200" s="236"/>
      <c r="N200" s="239"/>
      <c r="O200" s="520"/>
      <c r="P200" s="234" t="s">
        <v>235</v>
      </c>
      <c r="Q200" s="235"/>
      <c r="R200" s="235"/>
      <c r="S200" s="235"/>
      <c r="T200" s="236">
        <f t="shared" si="39"/>
        <v>0</v>
      </c>
      <c r="U200" s="239"/>
      <c r="V200" s="520"/>
      <c r="W200" s="234" t="s">
        <v>235</v>
      </c>
      <c r="X200" s="235">
        <f t="shared" si="37"/>
        <v>0</v>
      </c>
      <c r="Y200" s="235">
        <f t="shared" si="35"/>
        <v>0</v>
      </c>
      <c r="Z200" s="235">
        <f t="shared" si="42"/>
        <v>0</v>
      </c>
      <c r="AA200" s="247">
        <f t="shared" si="40"/>
        <v>0</v>
      </c>
      <c r="AB200" s="250"/>
      <c r="AC200" s="520"/>
      <c r="AD200" s="234" t="s">
        <v>235</v>
      </c>
      <c r="AE200" s="235">
        <f t="shared" si="43"/>
        <v>0</v>
      </c>
      <c r="AF200" s="235">
        <f t="shared" si="36"/>
        <v>0</v>
      </c>
      <c r="AG200" s="235">
        <f t="shared" si="44"/>
        <v>0</v>
      </c>
      <c r="AH200" s="247">
        <f t="shared" si="41"/>
        <v>0</v>
      </c>
      <c r="AI200" s="250"/>
      <c r="AK200" s="240"/>
    </row>
    <row r="201" spans="1:37" x14ac:dyDescent="0.2">
      <c r="A201" s="248"/>
      <c r="B201" s="234"/>
      <c r="C201" s="235"/>
      <c r="D201" s="235"/>
      <c r="E201" s="235"/>
      <c r="F201" s="236"/>
      <c r="G201" s="239"/>
      <c r="H201" s="248"/>
      <c r="I201" s="234"/>
      <c r="J201" s="235"/>
      <c r="K201" s="235"/>
      <c r="L201" s="235"/>
      <c r="M201" s="236"/>
      <c r="N201" s="239"/>
      <c r="O201" s="521"/>
      <c r="P201" s="234" t="s">
        <v>236</v>
      </c>
      <c r="Q201" s="235"/>
      <c r="R201" s="235"/>
      <c r="S201" s="235"/>
      <c r="T201" s="236">
        <f t="shared" si="39"/>
        <v>0</v>
      </c>
      <c r="U201" s="239"/>
      <c r="V201" s="521"/>
      <c r="W201" s="234" t="s">
        <v>236</v>
      </c>
      <c r="X201" s="235">
        <f t="shared" si="37"/>
        <v>0</v>
      </c>
      <c r="Y201" s="235">
        <f t="shared" si="35"/>
        <v>0</v>
      </c>
      <c r="Z201" s="235">
        <f t="shared" si="42"/>
        <v>0</v>
      </c>
      <c r="AA201" s="247">
        <f t="shared" si="40"/>
        <v>0</v>
      </c>
      <c r="AB201" s="251">
        <f>SUM(Y190:Y201)</f>
        <v>0</v>
      </c>
      <c r="AC201" s="521"/>
      <c r="AD201" s="234" t="s">
        <v>236</v>
      </c>
      <c r="AE201" s="235">
        <f t="shared" si="43"/>
        <v>0</v>
      </c>
      <c r="AF201" s="235">
        <f t="shared" si="36"/>
        <v>0</v>
      </c>
      <c r="AG201" s="235">
        <f t="shared" si="44"/>
        <v>0</v>
      </c>
      <c r="AH201" s="247">
        <f t="shared" si="41"/>
        <v>0</v>
      </c>
      <c r="AI201" s="251">
        <f>SUM(AF190:AF201)</f>
        <v>0</v>
      </c>
      <c r="AJ201" s="208">
        <f>O190</f>
        <v>2036</v>
      </c>
      <c r="AK201" s="240">
        <f>G201+N201+U201+AB201+AI201</f>
        <v>0</v>
      </c>
    </row>
    <row r="202" spans="1:37" x14ac:dyDescent="0.2">
      <c r="A202" s="248"/>
      <c r="B202" s="234"/>
      <c r="C202" s="235"/>
      <c r="D202" s="235"/>
      <c r="E202" s="235"/>
      <c r="F202" s="236"/>
      <c r="G202" s="239"/>
      <c r="H202" s="248"/>
      <c r="I202" s="234"/>
      <c r="J202" s="235"/>
      <c r="K202" s="235"/>
      <c r="L202" s="235"/>
      <c r="M202" s="236"/>
      <c r="N202" s="239"/>
      <c r="O202" s="252"/>
      <c r="P202" s="234"/>
      <c r="Q202" s="235"/>
      <c r="R202" s="235"/>
      <c r="S202" s="235"/>
      <c r="T202" s="236"/>
      <c r="U202" s="239"/>
      <c r="V202" s="519">
        <v>2037</v>
      </c>
      <c r="W202" s="234" t="s">
        <v>225</v>
      </c>
      <c r="X202" s="235">
        <f t="shared" si="37"/>
        <v>0</v>
      </c>
      <c r="Y202" s="235">
        <f t="shared" si="35"/>
        <v>0</v>
      </c>
      <c r="Z202" s="235">
        <f t="shared" si="42"/>
        <v>0</v>
      </c>
      <c r="AA202" s="247">
        <f t="shared" si="40"/>
        <v>0</v>
      </c>
      <c r="AB202" s="237"/>
      <c r="AC202" s="519">
        <v>2037</v>
      </c>
      <c r="AD202" s="234" t="s">
        <v>225</v>
      </c>
      <c r="AE202" s="235">
        <f t="shared" si="43"/>
        <v>0</v>
      </c>
      <c r="AF202" s="235">
        <f t="shared" si="36"/>
        <v>0</v>
      </c>
      <c r="AG202" s="235">
        <f t="shared" si="44"/>
        <v>0</v>
      </c>
      <c r="AH202" s="247">
        <f t="shared" si="41"/>
        <v>0</v>
      </c>
      <c r="AI202" s="237"/>
      <c r="AK202" s="240"/>
    </row>
    <row r="203" spans="1:37" x14ac:dyDescent="0.2">
      <c r="A203" s="248"/>
      <c r="B203" s="234"/>
      <c r="C203" s="235"/>
      <c r="D203" s="235"/>
      <c r="E203" s="235"/>
      <c r="F203" s="236"/>
      <c r="G203" s="239"/>
      <c r="H203" s="248"/>
      <c r="I203" s="234"/>
      <c r="J203" s="235"/>
      <c r="K203" s="235"/>
      <c r="L203" s="235"/>
      <c r="M203" s="236"/>
      <c r="N203" s="239"/>
      <c r="O203" s="252"/>
      <c r="P203" s="234"/>
      <c r="Q203" s="235"/>
      <c r="R203" s="235"/>
      <c r="S203" s="235"/>
      <c r="T203" s="236"/>
      <c r="U203" s="239"/>
      <c r="V203" s="520"/>
      <c r="W203" s="234" t="s">
        <v>226</v>
      </c>
      <c r="X203" s="235">
        <f t="shared" si="37"/>
        <v>0</v>
      </c>
      <c r="Y203" s="235">
        <f t="shared" si="35"/>
        <v>0</v>
      </c>
      <c r="Z203" s="235">
        <f t="shared" si="42"/>
        <v>0</v>
      </c>
      <c r="AA203" s="247">
        <f t="shared" si="40"/>
        <v>0</v>
      </c>
      <c r="AB203" s="238"/>
      <c r="AC203" s="520"/>
      <c r="AD203" s="234" t="s">
        <v>226</v>
      </c>
      <c r="AE203" s="235">
        <f t="shared" si="43"/>
        <v>0</v>
      </c>
      <c r="AF203" s="235">
        <f t="shared" si="36"/>
        <v>0</v>
      </c>
      <c r="AG203" s="235">
        <f t="shared" si="44"/>
        <v>0</v>
      </c>
      <c r="AH203" s="247">
        <f t="shared" si="41"/>
        <v>0</v>
      </c>
      <c r="AI203" s="238"/>
      <c r="AK203" s="240"/>
    </row>
    <row r="204" spans="1:37" x14ac:dyDescent="0.2">
      <c r="A204" s="248"/>
      <c r="B204" s="234"/>
      <c r="C204" s="235"/>
      <c r="D204" s="235"/>
      <c r="E204" s="235"/>
      <c r="F204" s="236"/>
      <c r="G204" s="239"/>
      <c r="H204" s="248"/>
      <c r="I204" s="234"/>
      <c r="J204" s="235"/>
      <c r="K204" s="235"/>
      <c r="L204" s="235"/>
      <c r="M204" s="236"/>
      <c r="N204" s="239"/>
      <c r="O204" s="252"/>
      <c r="P204" s="234"/>
      <c r="Q204" s="235"/>
      <c r="R204" s="235"/>
      <c r="S204" s="235"/>
      <c r="T204" s="236"/>
      <c r="U204" s="239"/>
      <c r="V204" s="520"/>
      <c r="W204" s="234" t="s">
        <v>227</v>
      </c>
      <c r="X204" s="235">
        <f t="shared" si="37"/>
        <v>0</v>
      </c>
      <c r="Y204" s="235">
        <f t="shared" si="35"/>
        <v>0</v>
      </c>
      <c r="Z204" s="235">
        <f t="shared" si="42"/>
        <v>0</v>
      </c>
      <c r="AA204" s="247">
        <f t="shared" si="40"/>
        <v>0</v>
      </c>
      <c r="AB204" s="238"/>
      <c r="AC204" s="520"/>
      <c r="AD204" s="234" t="s">
        <v>227</v>
      </c>
      <c r="AE204" s="235">
        <f>AE203-AG203</f>
        <v>0</v>
      </c>
      <c r="AF204" s="235">
        <f t="shared" si="36"/>
        <v>0</v>
      </c>
      <c r="AG204" s="235">
        <f t="shared" si="44"/>
        <v>0</v>
      </c>
      <c r="AH204" s="247">
        <f t="shared" si="41"/>
        <v>0</v>
      </c>
      <c r="AI204" s="238"/>
      <c r="AK204" s="240"/>
    </row>
    <row r="205" spans="1:37" x14ac:dyDescent="0.2">
      <c r="A205" s="248"/>
      <c r="B205" s="234"/>
      <c r="C205" s="235"/>
      <c r="D205" s="235"/>
      <c r="E205" s="235"/>
      <c r="F205" s="236"/>
      <c r="G205" s="239"/>
      <c r="H205" s="248"/>
      <c r="I205" s="234"/>
      <c r="J205" s="235"/>
      <c r="K205" s="235"/>
      <c r="L205" s="235"/>
      <c r="M205" s="236"/>
      <c r="N205" s="239"/>
      <c r="O205" s="252"/>
      <c r="P205" s="234"/>
      <c r="Q205" s="235"/>
      <c r="R205" s="235"/>
      <c r="S205" s="235"/>
      <c r="T205" s="236"/>
      <c r="U205" s="239"/>
      <c r="V205" s="520"/>
      <c r="W205" s="234" t="s">
        <v>228</v>
      </c>
      <c r="X205" s="235">
        <f t="shared" si="37"/>
        <v>0</v>
      </c>
      <c r="Y205" s="235">
        <f t="shared" si="35"/>
        <v>0</v>
      </c>
      <c r="Z205" s="235">
        <f t="shared" si="42"/>
        <v>0</v>
      </c>
      <c r="AA205" s="247">
        <f t="shared" si="40"/>
        <v>0</v>
      </c>
      <c r="AB205" s="238"/>
      <c r="AC205" s="520"/>
      <c r="AD205" s="234" t="s">
        <v>228</v>
      </c>
      <c r="AE205" s="235">
        <f>AE204-AG204</f>
        <v>0</v>
      </c>
      <c r="AF205" s="235">
        <f t="shared" si="36"/>
        <v>0</v>
      </c>
      <c r="AG205" s="235">
        <f t="shared" si="44"/>
        <v>0</v>
      </c>
      <c r="AH205" s="247">
        <f t="shared" si="41"/>
        <v>0</v>
      </c>
      <c r="AI205" s="238"/>
      <c r="AK205" s="240"/>
    </row>
    <row r="206" spans="1:37" x14ac:dyDescent="0.2">
      <c r="A206" s="248"/>
      <c r="B206" s="234"/>
      <c r="C206" s="235"/>
      <c r="D206" s="235"/>
      <c r="E206" s="235"/>
      <c r="F206" s="236"/>
      <c r="G206" s="239"/>
      <c r="H206" s="248"/>
      <c r="I206" s="234"/>
      <c r="J206" s="235"/>
      <c r="K206" s="235"/>
      <c r="L206" s="235"/>
      <c r="M206" s="236"/>
      <c r="N206" s="239"/>
      <c r="O206" s="252"/>
      <c r="P206" s="234"/>
      <c r="Q206" s="235"/>
      <c r="R206" s="235"/>
      <c r="S206" s="235"/>
      <c r="T206" s="236"/>
      <c r="U206" s="239"/>
      <c r="V206" s="520"/>
      <c r="W206" s="234" t="s">
        <v>229</v>
      </c>
      <c r="X206" s="235">
        <f t="shared" si="37"/>
        <v>0</v>
      </c>
      <c r="Y206" s="235">
        <f t="shared" si="35"/>
        <v>0</v>
      </c>
      <c r="Z206" s="235">
        <f t="shared" si="42"/>
        <v>0</v>
      </c>
      <c r="AA206" s="247">
        <f t="shared" si="40"/>
        <v>0</v>
      </c>
      <c r="AB206" s="238"/>
      <c r="AC206" s="520"/>
      <c r="AD206" s="234" t="s">
        <v>229</v>
      </c>
      <c r="AE206" s="235">
        <f>AE205-AG205</f>
        <v>0</v>
      </c>
      <c r="AF206" s="235">
        <f t="shared" si="36"/>
        <v>0</v>
      </c>
      <c r="AG206" s="235">
        <f t="shared" si="44"/>
        <v>0</v>
      </c>
      <c r="AH206" s="247">
        <f t="shared" si="41"/>
        <v>0</v>
      </c>
      <c r="AI206" s="238"/>
      <c r="AK206" s="240"/>
    </row>
    <row r="207" spans="1:37" x14ac:dyDescent="0.2">
      <c r="A207" s="248"/>
      <c r="B207" s="234"/>
      <c r="C207" s="235"/>
      <c r="D207" s="235"/>
      <c r="E207" s="235"/>
      <c r="F207" s="236"/>
      <c r="G207" s="239"/>
      <c r="H207" s="248"/>
      <c r="I207" s="234"/>
      <c r="J207" s="235"/>
      <c r="K207" s="235"/>
      <c r="L207" s="235"/>
      <c r="M207" s="236"/>
      <c r="N207" s="239"/>
      <c r="O207" s="252"/>
      <c r="P207" s="234"/>
      <c r="Q207" s="235"/>
      <c r="R207" s="235"/>
      <c r="S207" s="235"/>
      <c r="T207" s="236"/>
      <c r="U207" s="239"/>
      <c r="V207" s="520"/>
      <c r="W207" s="234" t="s">
        <v>230</v>
      </c>
      <c r="X207" s="235">
        <f t="shared" si="37"/>
        <v>0</v>
      </c>
      <c r="Y207" s="235">
        <f t="shared" si="35"/>
        <v>0</v>
      </c>
      <c r="Z207" s="235">
        <f t="shared" si="42"/>
        <v>0</v>
      </c>
      <c r="AA207" s="247">
        <f t="shared" si="40"/>
        <v>0</v>
      </c>
      <c r="AB207" s="238"/>
      <c r="AC207" s="520"/>
      <c r="AD207" s="234" t="s">
        <v>230</v>
      </c>
      <c r="AE207" s="235">
        <f t="shared" ref="AE207:AE270" si="45">AE206-AG206</f>
        <v>0</v>
      </c>
      <c r="AF207" s="235">
        <f t="shared" si="36"/>
        <v>0</v>
      </c>
      <c r="AG207" s="235">
        <f t="shared" si="44"/>
        <v>0</v>
      </c>
      <c r="AH207" s="247">
        <f t="shared" si="41"/>
        <v>0</v>
      </c>
      <c r="AI207" s="238"/>
      <c r="AK207" s="240"/>
    </row>
    <row r="208" spans="1:37" x14ac:dyDescent="0.2">
      <c r="A208" s="248"/>
      <c r="B208" s="234"/>
      <c r="C208" s="235"/>
      <c r="D208" s="235"/>
      <c r="E208" s="235"/>
      <c r="F208" s="236"/>
      <c r="G208" s="239"/>
      <c r="H208" s="248"/>
      <c r="I208" s="234"/>
      <c r="J208" s="235"/>
      <c r="K208" s="235"/>
      <c r="L208" s="235"/>
      <c r="M208" s="236"/>
      <c r="N208" s="239"/>
      <c r="O208" s="252"/>
      <c r="P208" s="234"/>
      <c r="Q208" s="235"/>
      <c r="R208" s="235"/>
      <c r="S208" s="235"/>
      <c r="T208" s="236"/>
      <c r="U208" s="239"/>
      <c r="V208" s="520"/>
      <c r="W208" s="234" t="s">
        <v>231</v>
      </c>
      <c r="X208" s="235">
        <f t="shared" si="37"/>
        <v>0</v>
      </c>
      <c r="Y208" s="235">
        <f t="shared" si="35"/>
        <v>0</v>
      </c>
      <c r="Z208" s="235">
        <f t="shared" si="42"/>
        <v>0</v>
      </c>
      <c r="AA208" s="247">
        <f t="shared" si="40"/>
        <v>0</v>
      </c>
      <c r="AB208" s="238"/>
      <c r="AC208" s="520"/>
      <c r="AD208" s="234" t="s">
        <v>231</v>
      </c>
      <c r="AE208" s="235">
        <f t="shared" si="45"/>
        <v>0</v>
      </c>
      <c r="AF208" s="235">
        <f t="shared" si="36"/>
        <v>0</v>
      </c>
      <c r="AG208" s="235">
        <f t="shared" si="44"/>
        <v>0</v>
      </c>
      <c r="AH208" s="247">
        <f t="shared" si="41"/>
        <v>0</v>
      </c>
      <c r="AI208" s="238"/>
      <c r="AK208" s="240"/>
    </row>
    <row r="209" spans="1:37" x14ac:dyDescent="0.2">
      <c r="A209" s="248"/>
      <c r="B209" s="234"/>
      <c r="C209" s="235"/>
      <c r="D209" s="235"/>
      <c r="E209" s="235"/>
      <c r="F209" s="236"/>
      <c r="G209" s="239"/>
      <c r="H209" s="248"/>
      <c r="I209" s="234"/>
      <c r="J209" s="235"/>
      <c r="K209" s="235"/>
      <c r="L209" s="235"/>
      <c r="M209" s="236"/>
      <c r="N209" s="239"/>
      <c r="O209" s="252"/>
      <c r="P209" s="234"/>
      <c r="Q209" s="235"/>
      <c r="R209" s="235"/>
      <c r="S209" s="235"/>
      <c r="T209" s="236"/>
      <c r="U209" s="239"/>
      <c r="V209" s="520"/>
      <c r="W209" s="234" t="s">
        <v>232</v>
      </c>
      <c r="X209" s="235">
        <f t="shared" si="37"/>
        <v>0</v>
      </c>
      <c r="Y209" s="235">
        <f t="shared" si="35"/>
        <v>0</v>
      </c>
      <c r="Z209" s="235">
        <f t="shared" si="42"/>
        <v>0</v>
      </c>
      <c r="AA209" s="247">
        <f t="shared" si="40"/>
        <v>0</v>
      </c>
      <c r="AB209" s="238"/>
      <c r="AC209" s="520"/>
      <c r="AD209" s="234" t="s">
        <v>232</v>
      </c>
      <c r="AE209" s="235">
        <f t="shared" si="45"/>
        <v>0</v>
      </c>
      <c r="AF209" s="235">
        <f t="shared" si="36"/>
        <v>0</v>
      </c>
      <c r="AG209" s="235">
        <f t="shared" si="44"/>
        <v>0</v>
      </c>
      <c r="AH209" s="247">
        <f t="shared" si="41"/>
        <v>0</v>
      </c>
      <c r="AI209" s="238"/>
      <c r="AK209" s="240"/>
    </row>
    <row r="210" spans="1:37" x14ac:dyDescent="0.2">
      <c r="A210" s="248"/>
      <c r="B210" s="234"/>
      <c r="C210" s="235"/>
      <c r="D210" s="235"/>
      <c r="E210" s="235"/>
      <c r="F210" s="236"/>
      <c r="G210" s="239"/>
      <c r="H210" s="248"/>
      <c r="I210" s="234"/>
      <c r="J210" s="235"/>
      <c r="K210" s="235"/>
      <c r="L210" s="235"/>
      <c r="M210" s="236"/>
      <c r="N210" s="239"/>
      <c r="O210" s="252"/>
      <c r="P210" s="234"/>
      <c r="Q210" s="235"/>
      <c r="R210" s="235"/>
      <c r="S210" s="235"/>
      <c r="T210" s="236"/>
      <c r="U210" s="239"/>
      <c r="V210" s="520"/>
      <c r="W210" s="234" t="s">
        <v>233</v>
      </c>
      <c r="X210" s="235">
        <f t="shared" si="37"/>
        <v>0</v>
      </c>
      <c r="Y210" s="235">
        <f t="shared" si="35"/>
        <v>0</v>
      </c>
      <c r="Z210" s="235">
        <f t="shared" si="42"/>
        <v>0</v>
      </c>
      <c r="AA210" s="247">
        <f t="shared" si="40"/>
        <v>0</v>
      </c>
      <c r="AB210" s="238"/>
      <c r="AC210" s="520"/>
      <c r="AD210" s="234" t="s">
        <v>233</v>
      </c>
      <c r="AE210" s="235">
        <f t="shared" si="45"/>
        <v>0</v>
      </c>
      <c r="AF210" s="235">
        <f t="shared" si="36"/>
        <v>0</v>
      </c>
      <c r="AG210" s="235">
        <f t="shared" si="44"/>
        <v>0</v>
      </c>
      <c r="AH210" s="247">
        <f t="shared" si="41"/>
        <v>0</v>
      </c>
      <c r="AI210" s="238"/>
      <c r="AK210" s="240"/>
    </row>
    <row r="211" spans="1:37" x14ac:dyDescent="0.2">
      <c r="A211" s="248"/>
      <c r="B211" s="234"/>
      <c r="C211" s="235"/>
      <c r="D211" s="235"/>
      <c r="E211" s="235"/>
      <c r="F211" s="236"/>
      <c r="G211" s="239"/>
      <c r="H211" s="248"/>
      <c r="I211" s="234"/>
      <c r="J211" s="235"/>
      <c r="K211" s="235"/>
      <c r="L211" s="235"/>
      <c r="M211" s="236"/>
      <c r="N211" s="239"/>
      <c r="O211" s="252"/>
      <c r="P211" s="234"/>
      <c r="Q211" s="235"/>
      <c r="R211" s="235"/>
      <c r="S211" s="235"/>
      <c r="T211" s="236"/>
      <c r="U211" s="239"/>
      <c r="V211" s="520"/>
      <c r="W211" s="234" t="s">
        <v>234</v>
      </c>
      <c r="X211" s="235">
        <f t="shared" si="37"/>
        <v>0</v>
      </c>
      <c r="Y211" s="235">
        <f t="shared" si="35"/>
        <v>0</v>
      </c>
      <c r="Z211" s="235">
        <f t="shared" si="42"/>
        <v>0</v>
      </c>
      <c r="AA211" s="247">
        <f t="shared" si="40"/>
        <v>0</v>
      </c>
      <c r="AB211" s="238"/>
      <c r="AC211" s="520"/>
      <c r="AD211" s="234" t="s">
        <v>234</v>
      </c>
      <c r="AE211" s="235">
        <f t="shared" si="45"/>
        <v>0</v>
      </c>
      <c r="AF211" s="235">
        <f t="shared" si="36"/>
        <v>0</v>
      </c>
      <c r="AG211" s="235">
        <f t="shared" si="44"/>
        <v>0</v>
      </c>
      <c r="AH211" s="247">
        <f t="shared" si="41"/>
        <v>0</v>
      </c>
      <c r="AI211" s="238"/>
      <c r="AK211" s="240"/>
    </row>
    <row r="212" spans="1:37" x14ac:dyDescent="0.2">
      <c r="A212" s="248"/>
      <c r="B212" s="234"/>
      <c r="C212" s="235"/>
      <c r="D212" s="235"/>
      <c r="E212" s="235"/>
      <c r="F212" s="236"/>
      <c r="G212" s="239"/>
      <c r="H212" s="248"/>
      <c r="I212" s="234"/>
      <c r="J212" s="235"/>
      <c r="K212" s="235"/>
      <c r="L212" s="235"/>
      <c r="M212" s="236"/>
      <c r="N212" s="239"/>
      <c r="O212" s="252"/>
      <c r="P212" s="234"/>
      <c r="Q212" s="235"/>
      <c r="R212" s="235"/>
      <c r="S212" s="235"/>
      <c r="T212" s="236"/>
      <c r="U212" s="239"/>
      <c r="V212" s="520"/>
      <c r="W212" s="234" t="s">
        <v>235</v>
      </c>
      <c r="X212" s="235">
        <f t="shared" si="37"/>
        <v>0</v>
      </c>
      <c r="Y212" s="235">
        <f t="shared" si="35"/>
        <v>0</v>
      </c>
      <c r="Z212" s="235">
        <f t="shared" si="42"/>
        <v>0</v>
      </c>
      <c r="AA212" s="247">
        <f t="shared" si="40"/>
        <v>0</v>
      </c>
      <c r="AB212" s="238"/>
      <c r="AC212" s="520"/>
      <c r="AD212" s="234" t="s">
        <v>235</v>
      </c>
      <c r="AE212" s="235">
        <f t="shared" si="45"/>
        <v>0</v>
      </c>
      <c r="AF212" s="235">
        <f t="shared" si="36"/>
        <v>0</v>
      </c>
      <c r="AG212" s="235">
        <f t="shared" si="44"/>
        <v>0</v>
      </c>
      <c r="AH212" s="247">
        <f t="shared" si="41"/>
        <v>0</v>
      </c>
      <c r="AI212" s="238"/>
      <c r="AK212" s="240"/>
    </row>
    <row r="213" spans="1:37" x14ac:dyDescent="0.2">
      <c r="A213" s="248"/>
      <c r="B213" s="234"/>
      <c r="C213" s="235"/>
      <c r="D213" s="235"/>
      <c r="E213" s="235"/>
      <c r="F213" s="236"/>
      <c r="G213" s="239"/>
      <c r="H213" s="248"/>
      <c r="I213" s="234"/>
      <c r="J213" s="235"/>
      <c r="K213" s="235"/>
      <c r="L213" s="235"/>
      <c r="M213" s="236"/>
      <c r="N213" s="239"/>
      <c r="O213" s="252"/>
      <c r="P213" s="234"/>
      <c r="Q213" s="235"/>
      <c r="R213" s="235"/>
      <c r="S213" s="235"/>
      <c r="T213" s="236"/>
      <c r="U213" s="239"/>
      <c r="V213" s="521"/>
      <c r="W213" s="234" t="s">
        <v>236</v>
      </c>
      <c r="X213" s="235">
        <f t="shared" si="37"/>
        <v>0</v>
      </c>
      <c r="Y213" s="235">
        <f t="shared" si="35"/>
        <v>0</v>
      </c>
      <c r="Z213" s="235">
        <f t="shared" si="42"/>
        <v>0</v>
      </c>
      <c r="AA213" s="247">
        <f t="shared" si="40"/>
        <v>0</v>
      </c>
      <c r="AB213" s="239">
        <f>SUM(Y202:Y213)</f>
        <v>0</v>
      </c>
      <c r="AC213" s="521"/>
      <c r="AD213" s="234" t="s">
        <v>236</v>
      </c>
      <c r="AE213" s="235">
        <f t="shared" si="45"/>
        <v>0</v>
      </c>
      <c r="AF213" s="235">
        <f t="shared" si="36"/>
        <v>0</v>
      </c>
      <c r="AG213" s="235">
        <f t="shared" si="44"/>
        <v>0</v>
      </c>
      <c r="AH213" s="247">
        <f t="shared" si="41"/>
        <v>0</v>
      </c>
      <c r="AI213" s="239">
        <f>SUM(AF202:AF213)</f>
        <v>0</v>
      </c>
      <c r="AJ213" s="208">
        <f>V202</f>
        <v>2037</v>
      </c>
      <c r="AK213" s="240">
        <f>G213+N213+U213+AB213+AI213</f>
        <v>0</v>
      </c>
    </row>
    <row r="214" spans="1:37" x14ac:dyDescent="0.2">
      <c r="A214" s="248"/>
      <c r="B214" s="234"/>
      <c r="C214" s="235"/>
      <c r="D214" s="235"/>
      <c r="E214" s="235"/>
      <c r="F214" s="236"/>
      <c r="G214" s="239"/>
      <c r="H214" s="248"/>
      <c r="I214" s="234"/>
      <c r="J214" s="235"/>
      <c r="K214" s="235"/>
      <c r="L214" s="235"/>
      <c r="M214" s="236"/>
      <c r="N214" s="239"/>
      <c r="O214" s="252"/>
      <c r="P214" s="234"/>
      <c r="Q214" s="235"/>
      <c r="R214" s="235"/>
      <c r="S214" s="235"/>
      <c r="T214" s="236"/>
      <c r="U214" s="239"/>
      <c r="V214" s="519">
        <v>2038</v>
      </c>
      <c r="W214" s="234" t="s">
        <v>225</v>
      </c>
      <c r="X214" s="235">
        <f t="shared" si="37"/>
        <v>0</v>
      </c>
      <c r="Y214" s="235">
        <f t="shared" si="35"/>
        <v>0</v>
      </c>
      <c r="Z214" s="235">
        <f t="shared" si="42"/>
        <v>0</v>
      </c>
      <c r="AA214" s="247">
        <f t="shared" si="40"/>
        <v>0</v>
      </c>
      <c r="AB214" s="237"/>
      <c r="AC214" s="519">
        <v>2038</v>
      </c>
      <c r="AD214" s="234" t="s">
        <v>225</v>
      </c>
      <c r="AE214" s="235">
        <f t="shared" si="45"/>
        <v>0</v>
      </c>
      <c r="AF214" s="235">
        <f t="shared" si="36"/>
        <v>0</v>
      </c>
      <c r="AG214" s="235">
        <f t="shared" si="44"/>
        <v>0</v>
      </c>
      <c r="AH214" s="247">
        <f t="shared" si="41"/>
        <v>0</v>
      </c>
      <c r="AI214" s="237"/>
      <c r="AK214" s="240"/>
    </row>
    <row r="215" spans="1:37" x14ac:dyDescent="0.2">
      <c r="A215" s="248"/>
      <c r="B215" s="234"/>
      <c r="C215" s="235"/>
      <c r="D215" s="235"/>
      <c r="E215" s="235"/>
      <c r="F215" s="236"/>
      <c r="G215" s="239"/>
      <c r="H215" s="248"/>
      <c r="I215" s="234"/>
      <c r="J215" s="235"/>
      <c r="K215" s="235"/>
      <c r="L215" s="235"/>
      <c r="M215" s="236"/>
      <c r="N215" s="239"/>
      <c r="O215" s="252"/>
      <c r="P215" s="234"/>
      <c r="Q215" s="235"/>
      <c r="R215" s="235"/>
      <c r="S215" s="235"/>
      <c r="T215" s="236"/>
      <c r="U215" s="239"/>
      <c r="V215" s="520"/>
      <c r="W215" s="234" t="s">
        <v>226</v>
      </c>
      <c r="X215" s="235">
        <f t="shared" si="37"/>
        <v>0</v>
      </c>
      <c r="Y215" s="235">
        <f t="shared" si="35"/>
        <v>0</v>
      </c>
      <c r="Z215" s="235">
        <f t="shared" si="42"/>
        <v>0</v>
      </c>
      <c r="AA215" s="247">
        <f t="shared" si="40"/>
        <v>0</v>
      </c>
      <c r="AB215" s="238"/>
      <c r="AC215" s="520"/>
      <c r="AD215" s="234" t="s">
        <v>226</v>
      </c>
      <c r="AE215" s="235">
        <f t="shared" si="45"/>
        <v>0</v>
      </c>
      <c r="AF215" s="235">
        <f t="shared" si="36"/>
        <v>0</v>
      </c>
      <c r="AG215" s="235">
        <f t="shared" si="44"/>
        <v>0</v>
      </c>
      <c r="AH215" s="247">
        <f t="shared" si="41"/>
        <v>0</v>
      </c>
      <c r="AI215" s="238"/>
      <c r="AK215" s="240"/>
    </row>
    <row r="216" spans="1:37" x14ac:dyDescent="0.2">
      <c r="A216" s="248"/>
      <c r="B216" s="234"/>
      <c r="C216" s="235"/>
      <c r="D216" s="235"/>
      <c r="E216" s="235"/>
      <c r="F216" s="236"/>
      <c r="G216" s="239"/>
      <c r="H216" s="248"/>
      <c r="I216" s="234"/>
      <c r="J216" s="235"/>
      <c r="K216" s="235"/>
      <c r="L216" s="235"/>
      <c r="M216" s="236"/>
      <c r="N216" s="239"/>
      <c r="O216" s="252"/>
      <c r="P216" s="234"/>
      <c r="Q216" s="235"/>
      <c r="R216" s="235"/>
      <c r="S216" s="235"/>
      <c r="T216" s="236"/>
      <c r="U216" s="239"/>
      <c r="V216" s="520"/>
      <c r="W216" s="234" t="s">
        <v>227</v>
      </c>
      <c r="X216" s="235">
        <f t="shared" si="37"/>
        <v>0</v>
      </c>
      <c r="Y216" s="235">
        <f t="shared" si="35"/>
        <v>0</v>
      </c>
      <c r="Z216" s="235">
        <f t="shared" si="42"/>
        <v>0</v>
      </c>
      <c r="AA216" s="247">
        <f t="shared" si="40"/>
        <v>0</v>
      </c>
      <c r="AB216" s="238"/>
      <c r="AC216" s="520"/>
      <c r="AD216" s="234" t="s">
        <v>227</v>
      </c>
      <c r="AE216" s="235">
        <f t="shared" si="45"/>
        <v>0</v>
      </c>
      <c r="AF216" s="235">
        <f t="shared" si="36"/>
        <v>0</v>
      </c>
      <c r="AG216" s="235">
        <f t="shared" si="44"/>
        <v>0</v>
      </c>
      <c r="AH216" s="247">
        <f t="shared" si="41"/>
        <v>0</v>
      </c>
      <c r="AI216" s="238"/>
      <c r="AK216" s="240"/>
    </row>
    <row r="217" spans="1:37" x14ac:dyDescent="0.2">
      <c r="A217" s="248"/>
      <c r="B217" s="234"/>
      <c r="C217" s="235"/>
      <c r="D217" s="235"/>
      <c r="E217" s="235"/>
      <c r="F217" s="236"/>
      <c r="G217" s="239"/>
      <c r="H217" s="248"/>
      <c r="I217" s="234"/>
      <c r="J217" s="235"/>
      <c r="K217" s="235"/>
      <c r="L217" s="235"/>
      <c r="M217" s="236"/>
      <c r="N217" s="239"/>
      <c r="O217" s="252"/>
      <c r="P217" s="234"/>
      <c r="Q217" s="235"/>
      <c r="R217" s="235"/>
      <c r="S217" s="235"/>
      <c r="T217" s="236"/>
      <c r="U217" s="239"/>
      <c r="V217" s="520"/>
      <c r="W217" s="234" t="s">
        <v>228</v>
      </c>
      <c r="X217" s="235">
        <f t="shared" si="37"/>
        <v>0</v>
      </c>
      <c r="Y217" s="235">
        <f t="shared" si="35"/>
        <v>0</v>
      </c>
      <c r="Z217" s="235">
        <f t="shared" si="42"/>
        <v>0</v>
      </c>
      <c r="AA217" s="247">
        <f t="shared" si="40"/>
        <v>0</v>
      </c>
      <c r="AB217" s="238"/>
      <c r="AC217" s="520"/>
      <c r="AD217" s="234" t="s">
        <v>228</v>
      </c>
      <c r="AE217" s="235">
        <f t="shared" si="45"/>
        <v>0</v>
      </c>
      <c r="AF217" s="235">
        <f t="shared" si="36"/>
        <v>0</v>
      </c>
      <c r="AG217" s="235">
        <f t="shared" si="44"/>
        <v>0</v>
      </c>
      <c r="AH217" s="247">
        <f t="shared" si="41"/>
        <v>0</v>
      </c>
      <c r="AI217" s="238"/>
      <c r="AK217" s="240"/>
    </row>
    <row r="218" spans="1:37" x14ac:dyDescent="0.2">
      <c r="A218" s="248"/>
      <c r="B218" s="234"/>
      <c r="C218" s="235"/>
      <c r="D218" s="235"/>
      <c r="E218" s="235"/>
      <c r="F218" s="236"/>
      <c r="G218" s="239"/>
      <c r="H218" s="248"/>
      <c r="I218" s="234"/>
      <c r="J218" s="235"/>
      <c r="K218" s="235"/>
      <c r="L218" s="235"/>
      <c r="M218" s="236"/>
      <c r="N218" s="239"/>
      <c r="O218" s="252"/>
      <c r="P218" s="234"/>
      <c r="Q218" s="235"/>
      <c r="R218" s="235"/>
      <c r="S218" s="235"/>
      <c r="T218" s="236"/>
      <c r="U218" s="239"/>
      <c r="V218" s="520"/>
      <c r="W218" s="234" t="s">
        <v>229</v>
      </c>
      <c r="X218" s="235">
        <f t="shared" si="37"/>
        <v>0</v>
      </c>
      <c r="Y218" s="235">
        <f t="shared" si="35"/>
        <v>0</v>
      </c>
      <c r="Z218" s="235">
        <f t="shared" si="42"/>
        <v>0</v>
      </c>
      <c r="AA218" s="247">
        <f t="shared" si="40"/>
        <v>0</v>
      </c>
      <c r="AB218" s="238"/>
      <c r="AC218" s="520"/>
      <c r="AD218" s="234" t="s">
        <v>229</v>
      </c>
      <c r="AE218" s="235">
        <f t="shared" si="45"/>
        <v>0</v>
      </c>
      <c r="AF218" s="235">
        <f t="shared" si="36"/>
        <v>0</v>
      </c>
      <c r="AG218" s="235">
        <f t="shared" si="44"/>
        <v>0</v>
      </c>
      <c r="AH218" s="247">
        <f t="shared" si="41"/>
        <v>0</v>
      </c>
      <c r="AI218" s="238"/>
      <c r="AK218" s="240"/>
    </row>
    <row r="219" spans="1:37" x14ac:dyDescent="0.2">
      <c r="A219" s="248"/>
      <c r="B219" s="234"/>
      <c r="C219" s="235"/>
      <c r="D219" s="235"/>
      <c r="E219" s="235"/>
      <c r="F219" s="236"/>
      <c r="G219" s="239"/>
      <c r="H219" s="248"/>
      <c r="I219" s="234"/>
      <c r="J219" s="235"/>
      <c r="K219" s="235"/>
      <c r="L219" s="235"/>
      <c r="M219" s="236"/>
      <c r="N219" s="239"/>
      <c r="O219" s="252"/>
      <c r="P219" s="234"/>
      <c r="Q219" s="235"/>
      <c r="R219" s="235"/>
      <c r="S219" s="235"/>
      <c r="T219" s="236"/>
      <c r="U219" s="239"/>
      <c r="V219" s="520"/>
      <c r="W219" s="234" t="s">
        <v>230</v>
      </c>
      <c r="X219" s="235">
        <f t="shared" si="37"/>
        <v>0</v>
      </c>
      <c r="Y219" s="235">
        <f t="shared" ref="Y219:Y273" si="46">X219*$Y$7/12</f>
        <v>0</v>
      </c>
      <c r="Z219" s="235">
        <f t="shared" si="42"/>
        <v>0</v>
      </c>
      <c r="AA219" s="247">
        <f t="shared" si="40"/>
        <v>0</v>
      </c>
      <c r="AB219" s="238"/>
      <c r="AC219" s="520"/>
      <c r="AD219" s="234" t="s">
        <v>230</v>
      </c>
      <c r="AE219" s="235">
        <f t="shared" si="45"/>
        <v>0</v>
      </c>
      <c r="AF219" s="235">
        <f t="shared" ref="AF219:AF282" si="47">AE219*$Y$7/12</f>
        <v>0</v>
      </c>
      <c r="AG219" s="235">
        <f t="shared" si="44"/>
        <v>0</v>
      </c>
      <c r="AH219" s="247">
        <f t="shared" si="41"/>
        <v>0</v>
      </c>
      <c r="AI219" s="238"/>
      <c r="AK219" s="240"/>
    </row>
    <row r="220" spans="1:37" x14ac:dyDescent="0.2">
      <c r="A220" s="248"/>
      <c r="B220" s="234"/>
      <c r="C220" s="235"/>
      <c r="D220" s="235"/>
      <c r="E220" s="235"/>
      <c r="F220" s="236"/>
      <c r="G220" s="239"/>
      <c r="H220" s="248"/>
      <c r="I220" s="234"/>
      <c r="J220" s="235"/>
      <c r="K220" s="235"/>
      <c r="L220" s="235"/>
      <c r="M220" s="236"/>
      <c r="N220" s="239"/>
      <c r="O220" s="252"/>
      <c r="P220" s="234"/>
      <c r="Q220" s="235"/>
      <c r="R220" s="235"/>
      <c r="S220" s="235"/>
      <c r="T220" s="236"/>
      <c r="U220" s="239"/>
      <c r="V220" s="520"/>
      <c r="W220" s="234" t="s">
        <v>231</v>
      </c>
      <c r="X220" s="235">
        <f t="shared" ref="X220:X273" si="48">X219-Z219</f>
        <v>0</v>
      </c>
      <c r="Y220" s="235">
        <f t="shared" si="46"/>
        <v>0</v>
      </c>
      <c r="Z220" s="235">
        <f t="shared" si="42"/>
        <v>0</v>
      </c>
      <c r="AA220" s="247">
        <f t="shared" si="40"/>
        <v>0</v>
      </c>
      <c r="AB220" s="238"/>
      <c r="AC220" s="520"/>
      <c r="AD220" s="234" t="s">
        <v>231</v>
      </c>
      <c r="AE220" s="235">
        <f t="shared" si="45"/>
        <v>0</v>
      </c>
      <c r="AF220" s="235">
        <f t="shared" si="47"/>
        <v>0</v>
      </c>
      <c r="AG220" s="235">
        <f t="shared" si="44"/>
        <v>0</v>
      </c>
      <c r="AH220" s="247">
        <f t="shared" si="41"/>
        <v>0</v>
      </c>
      <c r="AI220" s="238"/>
      <c r="AK220" s="240"/>
    </row>
    <row r="221" spans="1:37" x14ac:dyDescent="0.2">
      <c r="A221" s="248"/>
      <c r="B221" s="234"/>
      <c r="C221" s="235"/>
      <c r="D221" s="235"/>
      <c r="E221" s="235"/>
      <c r="F221" s="236"/>
      <c r="G221" s="239"/>
      <c r="H221" s="248"/>
      <c r="I221" s="234"/>
      <c r="J221" s="235"/>
      <c r="K221" s="235"/>
      <c r="L221" s="235"/>
      <c r="M221" s="236"/>
      <c r="N221" s="239"/>
      <c r="O221" s="252"/>
      <c r="P221" s="234"/>
      <c r="Q221" s="235"/>
      <c r="R221" s="235"/>
      <c r="S221" s="235"/>
      <c r="T221" s="236"/>
      <c r="U221" s="239"/>
      <c r="V221" s="520"/>
      <c r="W221" s="234" t="s">
        <v>232</v>
      </c>
      <c r="X221" s="235">
        <f t="shared" si="48"/>
        <v>0</v>
      </c>
      <c r="Y221" s="235">
        <f t="shared" si="46"/>
        <v>0</v>
      </c>
      <c r="Z221" s="235">
        <f t="shared" si="42"/>
        <v>0</v>
      </c>
      <c r="AA221" s="247">
        <f t="shared" si="40"/>
        <v>0</v>
      </c>
      <c r="AB221" s="238"/>
      <c r="AC221" s="520"/>
      <c r="AD221" s="234" t="s">
        <v>232</v>
      </c>
      <c r="AE221" s="235">
        <f t="shared" si="45"/>
        <v>0</v>
      </c>
      <c r="AF221" s="235">
        <f t="shared" si="47"/>
        <v>0</v>
      </c>
      <c r="AG221" s="235">
        <f t="shared" si="44"/>
        <v>0</v>
      </c>
      <c r="AH221" s="247">
        <f t="shared" si="41"/>
        <v>0</v>
      </c>
      <c r="AI221" s="238"/>
      <c r="AK221" s="240"/>
    </row>
    <row r="222" spans="1:37" x14ac:dyDescent="0.2">
      <c r="A222" s="248"/>
      <c r="B222" s="234"/>
      <c r="C222" s="235"/>
      <c r="D222" s="235"/>
      <c r="E222" s="235"/>
      <c r="F222" s="236"/>
      <c r="G222" s="239"/>
      <c r="H222" s="248"/>
      <c r="I222" s="234"/>
      <c r="J222" s="235"/>
      <c r="K222" s="235"/>
      <c r="L222" s="235"/>
      <c r="M222" s="236"/>
      <c r="N222" s="239"/>
      <c r="O222" s="252"/>
      <c r="P222" s="234"/>
      <c r="Q222" s="235"/>
      <c r="R222" s="235"/>
      <c r="S222" s="235"/>
      <c r="T222" s="236"/>
      <c r="U222" s="239"/>
      <c r="V222" s="520"/>
      <c r="W222" s="234" t="s">
        <v>233</v>
      </c>
      <c r="X222" s="235">
        <f t="shared" si="48"/>
        <v>0</v>
      </c>
      <c r="Y222" s="235">
        <f t="shared" si="46"/>
        <v>0</v>
      </c>
      <c r="Z222" s="235">
        <f t="shared" si="42"/>
        <v>0</v>
      </c>
      <c r="AA222" s="247">
        <f t="shared" si="40"/>
        <v>0</v>
      </c>
      <c r="AB222" s="238"/>
      <c r="AC222" s="520"/>
      <c r="AD222" s="234" t="s">
        <v>233</v>
      </c>
      <c r="AE222" s="235">
        <f t="shared" si="45"/>
        <v>0</v>
      </c>
      <c r="AF222" s="235">
        <f t="shared" si="47"/>
        <v>0</v>
      </c>
      <c r="AG222" s="235">
        <f t="shared" si="44"/>
        <v>0</v>
      </c>
      <c r="AH222" s="247">
        <f t="shared" si="41"/>
        <v>0</v>
      </c>
      <c r="AI222" s="238"/>
      <c r="AK222" s="240"/>
    </row>
    <row r="223" spans="1:37" x14ac:dyDescent="0.2">
      <c r="A223" s="248"/>
      <c r="B223" s="234"/>
      <c r="C223" s="235"/>
      <c r="D223" s="235"/>
      <c r="E223" s="235"/>
      <c r="F223" s="236"/>
      <c r="G223" s="239"/>
      <c r="H223" s="248"/>
      <c r="I223" s="234"/>
      <c r="J223" s="235"/>
      <c r="K223" s="235"/>
      <c r="L223" s="235"/>
      <c r="M223" s="236"/>
      <c r="N223" s="239"/>
      <c r="O223" s="252"/>
      <c r="P223" s="234"/>
      <c r="Q223" s="235"/>
      <c r="R223" s="235"/>
      <c r="S223" s="235"/>
      <c r="T223" s="236"/>
      <c r="U223" s="239"/>
      <c r="V223" s="520"/>
      <c r="W223" s="234" t="s">
        <v>234</v>
      </c>
      <c r="X223" s="235">
        <f t="shared" si="48"/>
        <v>0</v>
      </c>
      <c r="Y223" s="235">
        <f t="shared" si="46"/>
        <v>0</v>
      </c>
      <c r="Z223" s="235">
        <f t="shared" si="42"/>
        <v>0</v>
      </c>
      <c r="AA223" s="247">
        <f t="shared" si="40"/>
        <v>0</v>
      </c>
      <c r="AB223" s="238"/>
      <c r="AC223" s="520"/>
      <c r="AD223" s="234" t="s">
        <v>234</v>
      </c>
      <c r="AE223" s="235">
        <f t="shared" si="45"/>
        <v>0</v>
      </c>
      <c r="AF223" s="235">
        <f t="shared" si="47"/>
        <v>0</v>
      </c>
      <c r="AG223" s="235">
        <f t="shared" si="44"/>
        <v>0</v>
      </c>
      <c r="AH223" s="247">
        <f t="shared" si="41"/>
        <v>0</v>
      </c>
      <c r="AI223" s="238"/>
      <c r="AK223" s="240"/>
    </row>
    <row r="224" spans="1:37" x14ac:dyDescent="0.2">
      <c r="A224" s="248"/>
      <c r="B224" s="234"/>
      <c r="C224" s="235"/>
      <c r="D224" s="235"/>
      <c r="E224" s="235"/>
      <c r="F224" s="236"/>
      <c r="G224" s="239"/>
      <c r="H224" s="248"/>
      <c r="I224" s="234"/>
      <c r="J224" s="235"/>
      <c r="K224" s="235"/>
      <c r="L224" s="235"/>
      <c r="M224" s="236"/>
      <c r="N224" s="239"/>
      <c r="O224" s="252"/>
      <c r="P224" s="234"/>
      <c r="Q224" s="235"/>
      <c r="R224" s="235"/>
      <c r="S224" s="235"/>
      <c r="T224" s="236"/>
      <c r="U224" s="239"/>
      <c r="V224" s="520"/>
      <c r="W224" s="234" t="s">
        <v>235</v>
      </c>
      <c r="X224" s="235">
        <f t="shared" si="48"/>
        <v>0</v>
      </c>
      <c r="Y224" s="235">
        <f t="shared" si="46"/>
        <v>0</v>
      </c>
      <c r="Z224" s="235">
        <f t="shared" si="42"/>
        <v>0</v>
      </c>
      <c r="AA224" s="247">
        <f t="shared" si="40"/>
        <v>0</v>
      </c>
      <c r="AB224" s="238"/>
      <c r="AC224" s="520"/>
      <c r="AD224" s="234" t="s">
        <v>235</v>
      </c>
      <c r="AE224" s="235">
        <f t="shared" si="45"/>
        <v>0</v>
      </c>
      <c r="AF224" s="235">
        <f t="shared" si="47"/>
        <v>0</v>
      </c>
      <c r="AG224" s="235">
        <f t="shared" si="44"/>
        <v>0</v>
      </c>
      <c r="AH224" s="247">
        <f t="shared" si="41"/>
        <v>0</v>
      </c>
      <c r="AI224" s="238"/>
      <c r="AK224" s="240"/>
    </row>
    <row r="225" spans="1:37" x14ac:dyDescent="0.2">
      <c r="A225" s="248"/>
      <c r="B225" s="234"/>
      <c r="C225" s="235"/>
      <c r="D225" s="235"/>
      <c r="E225" s="235"/>
      <c r="F225" s="236"/>
      <c r="G225" s="239"/>
      <c r="H225" s="248"/>
      <c r="I225" s="234"/>
      <c r="J225" s="235"/>
      <c r="K225" s="235"/>
      <c r="L225" s="235"/>
      <c r="M225" s="236"/>
      <c r="N225" s="239"/>
      <c r="O225" s="252"/>
      <c r="P225" s="234"/>
      <c r="Q225" s="235"/>
      <c r="R225" s="235"/>
      <c r="S225" s="235"/>
      <c r="T225" s="236"/>
      <c r="U225" s="239"/>
      <c r="V225" s="521"/>
      <c r="W225" s="234" t="s">
        <v>236</v>
      </c>
      <c r="X225" s="235">
        <f t="shared" si="48"/>
        <v>0</v>
      </c>
      <c r="Y225" s="235">
        <f t="shared" si="46"/>
        <v>0</v>
      </c>
      <c r="Z225" s="235">
        <f t="shared" si="42"/>
        <v>0</v>
      </c>
      <c r="AA225" s="247">
        <f t="shared" si="40"/>
        <v>0</v>
      </c>
      <c r="AB225" s="239">
        <f>SUM(Y214:Y225)</f>
        <v>0</v>
      </c>
      <c r="AC225" s="521"/>
      <c r="AD225" s="234" t="s">
        <v>236</v>
      </c>
      <c r="AE225" s="235">
        <f t="shared" si="45"/>
        <v>0</v>
      </c>
      <c r="AF225" s="235">
        <f t="shared" si="47"/>
        <v>0</v>
      </c>
      <c r="AG225" s="235">
        <f t="shared" si="44"/>
        <v>0</v>
      </c>
      <c r="AH225" s="247">
        <f t="shared" si="41"/>
        <v>0</v>
      </c>
      <c r="AI225" s="239">
        <f>SUM(AF214:AF225)</f>
        <v>0</v>
      </c>
      <c r="AJ225" s="208">
        <f>V214</f>
        <v>2038</v>
      </c>
      <c r="AK225" s="240">
        <f>G225+N225+U225+AB225+AI225</f>
        <v>0</v>
      </c>
    </row>
    <row r="226" spans="1:37" x14ac:dyDescent="0.2">
      <c r="A226" s="248"/>
      <c r="B226" s="234"/>
      <c r="C226" s="235"/>
      <c r="D226" s="235"/>
      <c r="E226" s="235"/>
      <c r="F226" s="236"/>
      <c r="G226" s="239"/>
      <c r="H226" s="248"/>
      <c r="I226" s="234"/>
      <c r="J226" s="235"/>
      <c r="K226" s="235"/>
      <c r="L226" s="235"/>
      <c r="M226" s="236"/>
      <c r="N226" s="239"/>
      <c r="O226" s="252"/>
      <c r="P226" s="234"/>
      <c r="Q226" s="235"/>
      <c r="R226" s="235"/>
      <c r="S226" s="235"/>
      <c r="T226" s="236"/>
      <c r="U226" s="239"/>
      <c r="V226" s="519">
        <v>2039</v>
      </c>
      <c r="W226" s="234" t="s">
        <v>225</v>
      </c>
      <c r="X226" s="235">
        <f t="shared" si="48"/>
        <v>0</v>
      </c>
      <c r="Y226" s="235">
        <f t="shared" si="46"/>
        <v>0</v>
      </c>
      <c r="Z226" s="235">
        <f t="shared" si="42"/>
        <v>0</v>
      </c>
      <c r="AA226" s="247">
        <f t="shared" si="40"/>
        <v>0</v>
      </c>
      <c r="AB226" s="237"/>
      <c r="AC226" s="519">
        <v>2039</v>
      </c>
      <c r="AD226" s="234" t="s">
        <v>225</v>
      </c>
      <c r="AE226" s="235">
        <f t="shared" si="45"/>
        <v>0</v>
      </c>
      <c r="AF226" s="235">
        <f t="shared" si="47"/>
        <v>0</v>
      </c>
      <c r="AG226" s="235">
        <f t="shared" si="44"/>
        <v>0</v>
      </c>
      <c r="AH226" s="247">
        <f t="shared" si="41"/>
        <v>0</v>
      </c>
      <c r="AI226" s="237"/>
      <c r="AK226" s="240"/>
    </row>
    <row r="227" spans="1:37" x14ac:dyDescent="0.2">
      <c r="A227" s="248"/>
      <c r="B227" s="234"/>
      <c r="C227" s="235"/>
      <c r="D227" s="235"/>
      <c r="E227" s="235"/>
      <c r="F227" s="236"/>
      <c r="G227" s="239"/>
      <c r="H227" s="248"/>
      <c r="I227" s="234"/>
      <c r="J227" s="235"/>
      <c r="K227" s="235"/>
      <c r="L227" s="235"/>
      <c r="M227" s="236"/>
      <c r="N227" s="239"/>
      <c r="O227" s="252"/>
      <c r="P227" s="234"/>
      <c r="Q227" s="235"/>
      <c r="R227" s="235"/>
      <c r="S227" s="235"/>
      <c r="T227" s="236"/>
      <c r="U227" s="239"/>
      <c r="V227" s="520"/>
      <c r="W227" s="234" t="s">
        <v>226</v>
      </c>
      <c r="X227" s="235">
        <f t="shared" si="48"/>
        <v>0</v>
      </c>
      <c r="Y227" s="235">
        <f t="shared" si="46"/>
        <v>0</v>
      </c>
      <c r="Z227" s="235">
        <f t="shared" si="42"/>
        <v>0</v>
      </c>
      <c r="AA227" s="247">
        <f t="shared" si="40"/>
        <v>0</v>
      </c>
      <c r="AB227" s="238"/>
      <c r="AC227" s="520"/>
      <c r="AD227" s="234" t="s">
        <v>226</v>
      </c>
      <c r="AE227" s="235">
        <f t="shared" si="45"/>
        <v>0</v>
      </c>
      <c r="AF227" s="235">
        <f t="shared" si="47"/>
        <v>0</v>
      </c>
      <c r="AG227" s="235">
        <f t="shared" si="44"/>
        <v>0</v>
      </c>
      <c r="AH227" s="247">
        <f t="shared" si="41"/>
        <v>0</v>
      </c>
      <c r="AI227" s="238"/>
      <c r="AK227" s="240"/>
    </row>
    <row r="228" spans="1:37" x14ac:dyDescent="0.2">
      <c r="A228" s="248"/>
      <c r="B228" s="234"/>
      <c r="C228" s="235"/>
      <c r="D228" s="235"/>
      <c r="E228" s="235"/>
      <c r="F228" s="236"/>
      <c r="G228" s="239"/>
      <c r="H228" s="248"/>
      <c r="I228" s="234"/>
      <c r="J228" s="235"/>
      <c r="K228" s="235"/>
      <c r="L228" s="235"/>
      <c r="M228" s="236"/>
      <c r="N228" s="239"/>
      <c r="O228" s="252"/>
      <c r="P228" s="234"/>
      <c r="Q228" s="235"/>
      <c r="R228" s="235"/>
      <c r="S228" s="235"/>
      <c r="T228" s="236"/>
      <c r="U228" s="239"/>
      <c r="V228" s="520"/>
      <c r="W228" s="234" t="s">
        <v>227</v>
      </c>
      <c r="X228" s="235">
        <f t="shared" si="48"/>
        <v>0</v>
      </c>
      <c r="Y228" s="235">
        <f t="shared" si="46"/>
        <v>0</v>
      </c>
      <c r="Z228" s="235">
        <f t="shared" si="42"/>
        <v>0</v>
      </c>
      <c r="AA228" s="247">
        <f t="shared" ref="AA228:AA285" si="49">Y228+Z228</f>
        <v>0</v>
      </c>
      <c r="AB228" s="238"/>
      <c r="AC228" s="520"/>
      <c r="AD228" s="234" t="s">
        <v>227</v>
      </c>
      <c r="AE228" s="235">
        <f t="shared" si="45"/>
        <v>0</v>
      </c>
      <c r="AF228" s="235">
        <f t="shared" si="47"/>
        <v>0</v>
      </c>
      <c r="AG228" s="235">
        <f t="shared" si="44"/>
        <v>0</v>
      </c>
      <c r="AH228" s="247">
        <f t="shared" ref="AH228:AH291" si="50">AF228+AG228</f>
        <v>0</v>
      </c>
      <c r="AI228" s="238"/>
      <c r="AK228" s="240"/>
    </row>
    <row r="229" spans="1:37" x14ac:dyDescent="0.2">
      <c r="A229" s="248"/>
      <c r="B229" s="234"/>
      <c r="C229" s="235"/>
      <c r="D229" s="235"/>
      <c r="E229" s="235"/>
      <c r="F229" s="236"/>
      <c r="G229" s="239"/>
      <c r="H229" s="248"/>
      <c r="I229" s="234"/>
      <c r="J229" s="235"/>
      <c r="K229" s="235"/>
      <c r="L229" s="235"/>
      <c r="M229" s="236"/>
      <c r="N229" s="239"/>
      <c r="O229" s="252"/>
      <c r="P229" s="234"/>
      <c r="Q229" s="235"/>
      <c r="R229" s="235"/>
      <c r="S229" s="235"/>
      <c r="T229" s="236"/>
      <c r="U229" s="239"/>
      <c r="V229" s="520"/>
      <c r="W229" s="234" t="s">
        <v>228</v>
      </c>
      <c r="X229" s="235">
        <f t="shared" si="48"/>
        <v>0</v>
      </c>
      <c r="Y229" s="235">
        <f t="shared" si="46"/>
        <v>0</v>
      </c>
      <c r="Z229" s="235">
        <f t="shared" si="42"/>
        <v>0</v>
      </c>
      <c r="AA229" s="247">
        <f t="shared" si="49"/>
        <v>0</v>
      </c>
      <c r="AB229" s="238"/>
      <c r="AC229" s="520"/>
      <c r="AD229" s="234" t="s">
        <v>228</v>
      </c>
      <c r="AE229" s="235">
        <f t="shared" si="45"/>
        <v>0</v>
      </c>
      <c r="AF229" s="235">
        <f t="shared" si="47"/>
        <v>0</v>
      </c>
      <c r="AG229" s="235">
        <f t="shared" si="44"/>
        <v>0</v>
      </c>
      <c r="AH229" s="247">
        <f t="shared" si="50"/>
        <v>0</v>
      </c>
      <c r="AI229" s="238"/>
      <c r="AK229" s="240"/>
    </row>
    <row r="230" spans="1:37" x14ac:dyDescent="0.2">
      <c r="A230" s="248"/>
      <c r="B230" s="234"/>
      <c r="C230" s="235"/>
      <c r="D230" s="235"/>
      <c r="E230" s="235"/>
      <c r="F230" s="236"/>
      <c r="G230" s="239"/>
      <c r="H230" s="248"/>
      <c r="I230" s="234"/>
      <c r="J230" s="235"/>
      <c r="K230" s="235"/>
      <c r="L230" s="235"/>
      <c r="M230" s="236"/>
      <c r="N230" s="239"/>
      <c r="O230" s="252"/>
      <c r="P230" s="234"/>
      <c r="Q230" s="235"/>
      <c r="R230" s="235"/>
      <c r="S230" s="235"/>
      <c r="T230" s="236"/>
      <c r="U230" s="239"/>
      <c r="V230" s="520"/>
      <c r="W230" s="234" t="s">
        <v>229</v>
      </c>
      <c r="X230" s="235">
        <f t="shared" si="48"/>
        <v>0</v>
      </c>
      <c r="Y230" s="235">
        <f t="shared" si="46"/>
        <v>0</v>
      </c>
      <c r="Z230" s="235">
        <f t="shared" si="42"/>
        <v>0</v>
      </c>
      <c r="AA230" s="247">
        <f t="shared" si="49"/>
        <v>0</v>
      </c>
      <c r="AB230" s="238"/>
      <c r="AC230" s="520"/>
      <c r="AD230" s="234" t="s">
        <v>229</v>
      </c>
      <c r="AE230" s="235">
        <f t="shared" si="45"/>
        <v>0</v>
      </c>
      <c r="AF230" s="235">
        <f t="shared" si="47"/>
        <v>0</v>
      </c>
      <c r="AG230" s="235">
        <f t="shared" si="44"/>
        <v>0</v>
      </c>
      <c r="AH230" s="247">
        <f t="shared" si="50"/>
        <v>0</v>
      </c>
      <c r="AI230" s="238"/>
      <c r="AK230" s="240"/>
    </row>
    <row r="231" spans="1:37" x14ac:dyDescent="0.2">
      <c r="A231" s="248"/>
      <c r="B231" s="234"/>
      <c r="C231" s="235"/>
      <c r="D231" s="235"/>
      <c r="E231" s="235"/>
      <c r="F231" s="236"/>
      <c r="G231" s="239"/>
      <c r="H231" s="248"/>
      <c r="I231" s="234"/>
      <c r="J231" s="235"/>
      <c r="K231" s="235"/>
      <c r="L231" s="235"/>
      <c r="M231" s="236"/>
      <c r="N231" s="239"/>
      <c r="O231" s="252"/>
      <c r="P231" s="234"/>
      <c r="Q231" s="235"/>
      <c r="R231" s="235"/>
      <c r="S231" s="235"/>
      <c r="T231" s="236"/>
      <c r="U231" s="239"/>
      <c r="V231" s="520"/>
      <c r="W231" s="234" t="s">
        <v>230</v>
      </c>
      <c r="X231" s="235">
        <f t="shared" si="48"/>
        <v>0</v>
      </c>
      <c r="Y231" s="235">
        <f t="shared" si="46"/>
        <v>0</v>
      </c>
      <c r="Z231" s="235">
        <f t="shared" ref="Z231:Z273" si="51">$X$7/120</f>
        <v>0</v>
      </c>
      <c r="AA231" s="247">
        <f t="shared" si="49"/>
        <v>0</v>
      </c>
      <c r="AB231" s="238"/>
      <c r="AC231" s="520"/>
      <c r="AD231" s="234" t="s">
        <v>230</v>
      </c>
      <c r="AE231" s="235">
        <f t="shared" si="45"/>
        <v>0</v>
      </c>
      <c r="AF231" s="235">
        <f t="shared" si="47"/>
        <v>0</v>
      </c>
      <c r="AG231" s="235">
        <f t="shared" si="44"/>
        <v>0</v>
      </c>
      <c r="AH231" s="247">
        <f t="shared" si="50"/>
        <v>0</v>
      </c>
      <c r="AI231" s="238"/>
      <c r="AK231" s="240"/>
    </row>
    <row r="232" spans="1:37" x14ac:dyDescent="0.2">
      <c r="A232" s="248"/>
      <c r="B232" s="234"/>
      <c r="C232" s="235"/>
      <c r="D232" s="235"/>
      <c r="E232" s="235"/>
      <c r="F232" s="236"/>
      <c r="G232" s="239"/>
      <c r="H232" s="248"/>
      <c r="I232" s="234"/>
      <c r="J232" s="235"/>
      <c r="K232" s="235"/>
      <c r="L232" s="235"/>
      <c r="M232" s="236"/>
      <c r="N232" s="239"/>
      <c r="O232" s="252"/>
      <c r="P232" s="234"/>
      <c r="Q232" s="235"/>
      <c r="R232" s="235"/>
      <c r="S232" s="235"/>
      <c r="T232" s="236"/>
      <c r="U232" s="239"/>
      <c r="V232" s="520"/>
      <c r="W232" s="234" t="s">
        <v>231</v>
      </c>
      <c r="X232" s="235">
        <f t="shared" si="48"/>
        <v>0</v>
      </c>
      <c r="Y232" s="235">
        <f t="shared" si="46"/>
        <v>0</v>
      </c>
      <c r="Z232" s="235">
        <f t="shared" si="51"/>
        <v>0</v>
      </c>
      <c r="AA232" s="247">
        <f t="shared" si="49"/>
        <v>0</v>
      </c>
      <c r="AB232" s="238"/>
      <c r="AC232" s="520"/>
      <c r="AD232" s="234" t="s">
        <v>231</v>
      </c>
      <c r="AE232" s="235">
        <f t="shared" si="45"/>
        <v>0</v>
      </c>
      <c r="AF232" s="235">
        <f t="shared" si="47"/>
        <v>0</v>
      </c>
      <c r="AG232" s="235">
        <f t="shared" si="44"/>
        <v>0</v>
      </c>
      <c r="AH232" s="247">
        <f t="shared" si="50"/>
        <v>0</v>
      </c>
      <c r="AI232" s="238"/>
      <c r="AK232" s="240"/>
    </row>
    <row r="233" spans="1:37" x14ac:dyDescent="0.2">
      <c r="A233" s="248"/>
      <c r="B233" s="234"/>
      <c r="C233" s="235"/>
      <c r="D233" s="235"/>
      <c r="E233" s="235"/>
      <c r="F233" s="236"/>
      <c r="G233" s="239"/>
      <c r="H233" s="248"/>
      <c r="I233" s="234"/>
      <c r="J233" s="235"/>
      <c r="K233" s="235"/>
      <c r="L233" s="235"/>
      <c r="M233" s="236"/>
      <c r="N233" s="239"/>
      <c r="O233" s="252"/>
      <c r="P233" s="234"/>
      <c r="Q233" s="235"/>
      <c r="R233" s="235"/>
      <c r="S233" s="235"/>
      <c r="T233" s="236"/>
      <c r="U233" s="239"/>
      <c r="V233" s="520"/>
      <c r="W233" s="234" t="s">
        <v>232</v>
      </c>
      <c r="X233" s="235">
        <f t="shared" si="48"/>
        <v>0</v>
      </c>
      <c r="Y233" s="235">
        <f t="shared" si="46"/>
        <v>0</v>
      </c>
      <c r="Z233" s="235">
        <f t="shared" si="51"/>
        <v>0</v>
      </c>
      <c r="AA233" s="247">
        <f t="shared" si="49"/>
        <v>0</v>
      </c>
      <c r="AB233" s="238"/>
      <c r="AC233" s="520"/>
      <c r="AD233" s="234" t="s">
        <v>232</v>
      </c>
      <c r="AE233" s="235">
        <f t="shared" si="45"/>
        <v>0</v>
      </c>
      <c r="AF233" s="235">
        <f t="shared" si="47"/>
        <v>0</v>
      </c>
      <c r="AG233" s="235">
        <f t="shared" si="44"/>
        <v>0</v>
      </c>
      <c r="AH233" s="247">
        <f t="shared" si="50"/>
        <v>0</v>
      </c>
      <c r="AI233" s="238"/>
      <c r="AK233" s="240"/>
    </row>
    <row r="234" spans="1:37" x14ac:dyDescent="0.2">
      <c r="A234" s="248"/>
      <c r="B234" s="234"/>
      <c r="C234" s="235"/>
      <c r="D234" s="235"/>
      <c r="E234" s="235"/>
      <c r="F234" s="236"/>
      <c r="G234" s="239"/>
      <c r="H234" s="248"/>
      <c r="I234" s="234"/>
      <c r="J234" s="235"/>
      <c r="K234" s="235"/>
      <c r="L234" s="235"/>
      <c r="M234" s="236"/>
      <c r="N234" s="239"/>
      <c r="O234" s="252"/>
      <c r="P234" s="234"/>
      <c r="Q234" s="235"/>
      <c r="R234" s="235"/>
      <c r="S234" s="235"/>
      <c r="T234" s="236"/>
      <c r="U234" s="239"/>
      <c r="V234" s="520"/>
      <c r="W234" s="234" t="s">
        <v>233</v>
      </c>
      <c r="X234" s="235">
        <f t="shared" si="48"/>
        <v>0</v>
      </c>
      <c r="Y234" s="235">
        <f t="shared" si="46"/>
        <v>0</v>
      </c>
      <c r="Z234" s="235">
        <f t="shared" si="51"/>
        <v>0</v>
      </c>
      <c r="AA234" s="247">
        <f t="shared" si="49"/>
        <v>0</v>
      </c>
      <c r="AB234" s="238"/>
      <c r="AC234" s="520"/>
      <c r="AD234" s="234" t="s">
        <v>233</v>
      </c>
      <c r="AE234" s="235">
        <f t="shared" si="45"/>
        <v>0</v>
      </c>
      <c r="AF234" s="235">
        <f t="shared" si="47"/>
        <v>0</v>
      </c>
      <c r="AG234" s="235">
        <f t="shared" si="44"/>
        <v>0</v>
      </c>
      <c r="AH234" s="247">
        <f t="shared" si="50"/>
        <v>0</v>
      </c>
      <c r="AI234" s="238"/>
      <c r="AK234" s="240"/>
    </row>
    <row r="235" spans="1:37" x14ac:dyDescent="0.2">
      <c r="A235" s="248"/>
      <c r="B235" s="234"/>
      <c r="C235" s="235"/>
      <c r="D235" s="235"/>
      <c r="E235" s="235"/>
      <c r="F235" s="236"/>
      <c r="G235" s="239"/>
      <c r="H235" s="248"/>
      <c r="I235" s="234"/>
      <c r="J235" s="235"/>
      <c r="K235" s="235"/>
      <c r="L235" s="235"/>
      <c r="M235" s="236"/>
      <c r="N235" s="239"/>
      <c r="O235" s="252"/>
      <c r="P235" s="234"/>
      <c r="Q235" s="235"/>
      <c r="R235" s="235"/>
      <c r="S235" s="235"/>
      <c r="T235" s="236"/>
      <c r="U235" s="239"/>
      <c r="V235" s="520"/>
      <c r="W235" s="234" t="s">
        <v>234</v>
      </c>
      <c r="X235" s="235">
        <f t="shared" si="48"/>
        <v>0</v>
      </c>
      <c r="Y235" s="235">
        <f t="shared" si="46"/>
        <v>0</v>
      </c>
      <c r="Z235" s="235">
        <f t="shared" si="51"/>
        <v>0</v>
      </c>
      <c r="AA235" s="247">
        <f t="shared" si="49"/>
        <v>0</v>
      </c>
      <c r="AB235" s="238"/>
      <c r="AC235" s="520"/>
      <c r="AD235" s="234" t="s">
        <v>234</v>
      </c>
      <c r="AE235" s="235">
        <f t="shared" si="45"/>
        <v>0</v>
      </c>
      <c r="AF235" s="235">
        <f t="shared" si="47"/>
        <v>0</v>
      </c>
      <c r="AG235" s="235">
        <f t="shared" si="44"/>
        <v>0</v>
      </c>
      <c r="AH235" s="247">
        <f t="shared" si="50"/>
        <v>0</v>
      </c>
      <c r="AI235" s="238"/>
      <c r="AK235" s="240"/>
    </row>
    <row r="236" spans="1:37" x14ac:dyDescent="0.2">
      <c r="A236" s="248"/>
      <c r="B236" s="234"/>
      <c r="C236" s="235"/>
      <c r="D236" s="235"/>
      <c r="E236" s="235"/>
      <c r="F236" s="236"/>
      <c r="G236" s="239"/>
      <c r="H236" s="248"/>
      <c r="I236" s="234"/>
      <c r="J236" s="235"/>
      <c r="K236" s="235"/>
      <c r="L236" s="235"/>
      <c r="M236" s="236"/>
      <c r="N236" s="239"/>
      <c r="O236" s="252"/>
      <c r="P236" s="234"/>
      <c r="Q236" s="235"/>
      <c r="R236" s="235"/>
      <c r="S236" s="235"/>
      <c r="T236" s="236"/>
      <c r="U236" s="239"/>
      <c r="V236" s="520"/>
      <c r="W236" s="234" t="s">
        <v>235</v>
      </c>
      <c r="X236" s="235">
        <f t="shared" si="48"/>
        <v>0</v>
      </c>
      <c r="Y236" s="235">
        <f t="shared" si="46"/>
        <v>0</v>
      </c>
      <c r="Z236" s="235">
        <f t="shared" si="51"/>
        <v>0</v>
      </c>
      <c r="AA236" s="247">
        <f t="shared" si="49"/>
        <v>0</v>
      </c>
      <c r="AB236" s="238"/>
      <c r="AC236" s="520"/>
      <c r="AD236" s="234" t="s">
        <v>235</v>
      </c>
      <c r="AE236" s="235">
        <f t="shared" si="45"/>
        <v>0</v>
      </c>
      <c r="AF236" s="235">
        <f t="shared" si="47"/>
        <v>0</v>
      </c>
      <c r="AG236" s="235">
        <f t="shared" si="44"/>
        <v>0</v>
      </c>
      <c r="AH236" s="247">
        <f t="shared" si="50"/>
        <v>0</v>
      </c>
      <c r="AI236" s="238"/>
      <c r="AK236" s="240"/>
    </row>
    <row r="237" spans="1:37" x14ac:dyDescent="0.2">
      <c r="A237" s="248"/>
      <c r="B237" s="234"/>
      <c r="C237" s="235"/>
      <c r="D237" s="235"/>
      <c r="E237" s="235"/>
      <c r="F237" s="236"/>
      <c r="G237" s="239"/>
      <c r="H237" s="248"/>
      <c r="I237" s="234"/>
      <c r="J237" s="235"/>
      <c r="K237" s="235"/>
      <c r="L237" s="235"/>
      <c r="M237" s="236"/>
      <c r="N237" s="239"/>
      <c r="O237" s="252"/>
      <c r="P237" s="234"/>
      <c r="Q237" s="235"/>
      <c r="R237" s="235"/>
      <c r="S237" s="235"/>
      <c r="T237" s="236"/>
      <c r="U237" s="239"/>
      <c r="V237" s="521"/>
      <c r="W237" s="234" t="s">
        <v>236</v>
      </c>
      <c r="X237" s="235">
        <f t="shared" si="48"/>
        <v>0</v>
      </c>
      <c r="Y237" s="235">
        <f t="shared" si="46"/>
        <v>0</v>
      </c>
      <c r="Z237" s="235">
        <f t="shared" si="51"/>
        <v>0</v>
      </c>
      <c r="AA237" s="247">
        <f t="shared" si="49"/>
        <v>0</v>
      </c>
      <c r="AB237" s="239">
        <f>SUM(Y226:Y237)</f>
        <v>0</v>
      </c>
      <c r="AC237" s="521"/>
      <c r="AD237" s="234" t="s">
        <v>236</v>
      </c>
      <c r="AE237" s="235">
        <f t="shared" si="45"/>
        <v>0</v>
      </c>
      <c r="AF237" s="235">
        <f t="shared" si="47"/>
        <v>0</v>
      </c>
      <c r="AG237" s="235">
        <f t="shared" si="44"/>
        <v>0</v>
      </c>
      <c r="AH237" s="247">
        <f t="shared" si="50"/>
        <v>0</v>
      </c>
      <c r="AI237" s="239">
        <f>SUM(AF226:AF237)</f>
        <v>0</v>
      </c>
      <c r="AJ237" s="208">
        <f>V226</f>
        <v>2039</v>
      </c>
      <c r="AK237" s="240">
        <f>G237+N237+U237+AB237+AI237</f>
        <v>0</v>
      </c>
    </row>
    <row r="238" spans="1:37" x14ac:dyDescent="0.2">
      <c r="A238" s="248"/>
      <c r="B238" s="234"/>
      <c r="C238" s="235"/>
      <c r="D238" s="235"/>
      <c r="E238" s="235"/>
      <c r="F238" s="236"/>
      <c r="G238" s="239"/>
      <c r="H238" s="248"/>
      <c r="I238" s="234"/>
      <c r="J238" s="235"/>
      <c r="K238" s="235"/>
      <c r="L238" s="235"/>
      <c r="M238" s="236"/>
      <c r="N238" s="239"/>
      <c r="O238" s="252"/>
      <c r="P238" s="234"/>
      <c r="Q238" s="235"/>
      <c r="R238" s="235"/>
      <c r="S238" s="235"/>
      <c r="T238" s="236"/>
      <c r="U238" s="239"/>
      <c r="V238" s="519">
        <v>2040</v>
      </c>
      <c r="W238" s="234" t="s">
        <v>225</v>
      </c>
      <c r="X238" s="235">
        <f t="shared" si="48"/>
        <v>0</v>
      </c>
      <c r="Y238" s="235">
        <f t="shared" si="46"/>
        <v>0</v>
      </c>
      <c r="Z238" s="235">
        <f t="shared" si="51"/>
        <v>0</v>
      </c>
      <c r="AA238" s="247">
        <f t="shared" si="49"/>
        <v>0</v>
      </c>
      <c r="AB238" s="237"/>
      <c r="AC238" s="519">
        <v>2040</v>
      </c>
      <c r="AD238" s="234" t="s">
        <v>225</v>
      </c>
      <c r="AE238" s="235">
        <f t="shared" si="45"/>
        <v>0</v>
      </c>
      <c r="AF238" s="235">
        <f t="shared" si="47"/>
        <v>0</v>
      </c>
      <c r="AG238" s="235">
        <f t="shared" si="44"/>
        <v>0</v>
      </c>
      <c r="AH238" s="247">
        <f t="shared" si="50"/>
        <v>0</v>
      </c>
      <c r="AI238" s="237"/>
      <c r="AK238" s="240"/>
    </row>
    <row r="239" spans="1:37" x14ac:dyDescent="0.2">
      <c r="A239" s="248"/>
      <c r="B239" s="234"/>
      <c r="C239" s="235"/>
      <c r="D239" s="235"/>
      <c r="E239" s="235"/>
      <c r="F239" s="236"/>
      <c r="G239" s="239"/>
      <c r="H239" s="248"/>
      <c r="I239" s="234"/>
      <c r="J239" s="235"/>
      <c r="K239" s="235"/>
      <c r="L239" s="235"/>
      <c r="M239" s="236"/>
      <c r="N239" s="239"/>
      <c r="O239" s="252"/>
      <c r="P239" s="234"/>
      <c r="Q239" s="235"/>
      <c r="R239" s="235"/>
      <c r="S239" s="235"/>
      <c r="T239" s="236"/>
      <c r="U239" s="239"/>
      <c r="V239" s="520"/>
      <c r="W239" s="234" t="s">
        <v>226</v>
      </c>
      <c r="X239" s="235">
        <f t="shared" si="48"/>
        <v>0</v>
      </c>
      <c r="Y239" s="235">
        <f t="shared" si="46"/>
        <v>0</v>
      </c>
      <c r="Z239" s="235">
        <f t="shared" si="51"/>
        <v>0</v>
      </c>
      <c r="AA239" s="247">
        <f t="shared" si="49"/>
        <v>0</v>
      </c>
      <c r="AB239" s="238"/>
      <c r="AC239" s="520"/>
      <c r="AD239" s="234" t="s">
        <v>226</v>
      </c>
      <c r="AE239" s="235">
        <f t="shared" si="45"/>
        <v>0</v>
      </c>
      <c r="AF239" s="235">
        <f t="shared" si="47"/>
        <v>0</v>
      </c>
      <c r="AG239" s="235">
        <f t="shared" si="44"/>
        <v>0</v>
      </c>
      <c r="AH239" s="247">
        <f t="shared" si="50"/>
        <v>0</v>
      </c>
      <c r="AI239" s="238"/>
      <c r="AK239" s="240"/>
    </row>
    <row r="240" spans="1:37" x14ac:dyDescent="0.2">
      <c r="A240" s="248"/>
      <c r="B240" s="234"/>
      <c r="C240" s="235"/>
      <c r="D240" s="235"/>
      <c r="E240" s="235"/>
      <c r="F240" s="236"/>
      <c r="G240" s="239"/>
      <c r="H240" s="248"/>
      <c r="I240" s="234"/>
      <c r="J240" s="235"/>
      <c r="K240" s="235"/>
      <c r="L240" s="235"/>
      <c r="M240" s="236"/>
      <c r="N240" s="239"/>
      <c r="O240" s="252"/>
      <c r="P240" s="234"/>
      <c r="Q240" s="235"/>
      <c r="R240" s="235"/>
      <c r="S240" s="235"/>
      <c r="T240" s="236"/>
      <c r="U240" s="239"/>
      <c r="V240" s="520"/>
      <c r="W240" s="234" t="s">
        <v>227</v>
      </c>
      <c r="X240" s="235">
        <f t="shared" si="48"/>
        <v>0</v>
      </c>
      <c r="Y240" s="235">
        <f t="shared" si="46"/>
        <v>0</v>
      </c>
      <c r="Z240" s="235">
        <f t="shared" si="51"/>
        <v>0</v>
      </c>
      <c r="AA240" s="247">
        <f t="shared" si="49"/>
        <v>0</v>
      </c>
      <c r="AB240" s="238"/>
      <c r="AC240" s="520"/>
      <c r="AD240" s="234" t="s">
        <v>227</v>
      </c>
      <c r="AE240" s="235">
        <f t="shared" si="45"/>
        <v>0</v>
      </c>
      <c r="AF240" s="235">
        <f t="shared" si="47"/>
        <v>0</v>
      </c>
      <c r="AG240" s="235">
        <f t="shared" si="44"/>
        <v>0</v>
      </c>
      <c r="AH240" s="247">
        <f t="shared" si="50"/>
        <v>0</v>
      </c>
      <c r="AI240" s="238"/>
      <c r="AK240" s="240"/>
    </row>
    <row r="241" spans="1:37" x14ac:dyDescent="0.2">
      <c r="A241" s="248"/>
      <c r="B241" s="234"/>
      <c r="C241" s="235"/>
      <c r="D241" s="235"/>
      <c r="E241" s="235"/>
      <c r="F241" s="236"/>
      <c r="G241" s="239"/>
      <c r="H241" s="248"/>
      <c r="I241" s="234"/>
      <c r="J241" s="235"/>
      <c r="K241" s="235"/>
      <c r="L241" s="235"/>
      <c r="M241" s="236"/>
      <c r="N241" s="239"/>
      <c r="O241" s="252"/>
      <c r="P241" s="234"/>
      <c r="Q241" s="235"/>
      <c r="R241" s="235"/>
      <c r="S241" s="235"/>
      <c r="T241" s="236"/>
      <c r="U241" s="239"/>
      <c r="V241" s="520"/>
      <c r="W241" s="234" t="s">
        <v>228</v>
      </c>
      <c r="X241" s="235">
        <f t="shared" si="48"/>
        <v>0</v>
      </c>
      <c r="Y241" s="235">
        <f t="shared" si="46"/>
        <v>0</v>
      </c>
      <c r="Z241" s="235">
        <f t="shared" si="51"/>
        <v>0</v>
      </c>
      <c r="AA241" s="247">
        <f t="shared" si="49"/>
        <v>0</v>
      </c>
      <c r="AB241" s="238"/>
      <c r="AC241" s="520"/>
      <c r="AD241" s="234" t="s">
        <v>228</v>
      </c>
      <c r="AE241" s="235">
        <f t="shared" si="45"/>
        <v>0</v>
      </c>
      <c r="AF241" s="235">
        <f t="shared" si="47"/>
        <v>0</v>
      </c>
      <c r="AG241" s="235">
        <f t="shared" si="44"/>
        <v>0</v>
      </c>
      <c r="AH241" s="247">
        <f t="shared" si="50"/>
        <v>0</v>
      </c>
      <c r="AI241" s="238"/>
      <c r="AK241" s="240"/>
    </row>
    <row r="242" spans="1:37" x14ac:dyDescent="0.2">
      <c r="A242" s="248"/>
      <c r="B242" s="234"/>
      <c r="C242" s="235"/>
      <c r="D242" s="235"/>
      <c r="E242" s="235"/>
      <c r="F242" s="236"/>
      <c r="G242" s="239"/>
      <c r="H242" s="248"/>
      <c r="I242" s="234"/>
      <c r="J242" s="235"/>
      <c r="K242" s="235"/>
      <c r="L242" s="235"/>
      <c r="M242" s="236"/>
      <c r="N242" s="239"/>
      <c r="O242" s="252"/>
      <c r="P242" s="234"/>
      <c r="Q242" s="235"/>
      <c r="R242" s="235"/>
      <c r="S242" s="235"/>
      <c r="T242" s="236"/>
      <c r="U242" s="239"/>
      <c r="V242" s="520"/>
      <c r="W242" s="234" t="s">
        <v>229</v>
      </c>
      <c r="X242" s="235">
        <f t="shared" si="48"/>
        <v>0</v>
      </c>
      <c r="Y242" s="235">
        <f t="shared" si="46"/>
        <v>0</v>
      </c>
      <c r="Z242" s="235">
        <f t="shared" si="51"/>
        <v>0</v>
      </c>
      <c r="AA242" s="247">
        <f t="shared" si="49"/>
        <v>0</v>
      </c>
      <c r="AB242" s="238"/>
      <c r="AC242" s="520"/>
      <c r="AD242" s="234" t="s">
        <v>229</v>
      </c>
      <c r="AE242" s="235">
        <f t="shared" si="45"/>
        <v>0</v>
      </c>
      <c r="AF242" s="235">
        <f t="shared" si="47"/>
        <v>0</v>
      </c>
      <c r="AG242" s="235">
        <f t="shared" si="44"/>
        <v>0</v>
      </c>
      <c r="AH242" s="247">
        <f t="shared" si="50"/>
        <v>0</v>
      </c>
      <c r="AI242" s="238"/>
      <c r="AK242" s="240"/>
    </row>
    <row r="243" spans="1:37" x14ac:dyDescent="0.2">
      <c r="A243" s="248"/>
      <c r="B243" s="234"/>
      <c r="C243" s="235"/>
      <c r="D243" s="235"/>
      <c r="E243" s="235"/>
      <c r="F243" s="236"/>
      <c r="G243" s="239"/>
      <c r="H243" s="248"/>
      <c r="I243" s="234"/>
      <c r="J243" s="235"/>
      <c r="K243" s="235"/>
      <c r="L243" s="235"/>
      <c r="M243" s="236"/>
      <c r="N243" s="239"/>
      <c r="O243" s="252"/>
      <c r="P243" s="234"/>
      <c r="Q243" s="235"/>
      <c r="R243" s="235"/>
      <c r="S243" s="235"/>
      <c r="T243" s="236"/>
      <c r="U243" s="239"/>
      <c r="V243" s="520"/>
      <c r="W243" s="234" t="s">
        <v>230</v>
      </c>
      <c r="X243" s="235">
        <f t="shared" si="48"/>
        <v>0</v>
      </c>
      <c r="Y243" s="235">
        <f t="shared" si="46"/>
        <v>0</v>
      </c>
      <c r="Z243" s="235">
        <f t="shared" si="51"/>
        <v>0</v>
      </c>
      <c r="AA243" s="247">
        <f t="shared" si="49"/>
        <v>0</v>
      </c>
      <c r="AB243" s="238"/>
      <c r="AC243" s="520"/>
      <c r="AD243" s="234" t="s">
        <v>230</v>
      </c>
      <c r="AE243" s="235">
        <f t="shared" si="45"/>
        <v>0</v>
      </c>
      <c r="AF243" s="235">
        <f t="shared" si="47"/>
        <v>0</v>
      </c>
      <c r="AG243" s="235">
        <f t="shared" si="44"/>
        <v>0</v>
      </c>
      <c r="AH243" s="247">
        <f t="shared" si="50"/>
        <v>0</v>
      </c>
      <c r="AI243" s="238"/>
      <c r="AK243" s="240"/>
    </row>
    <row r="244" spans="1:37" x14ac:dyDescent="0.2">
      <c r="A244" s="248"/>
      <c r="B244" s="234"/>
      <c r="C244" s="235"/>
      <c r="D244" s="235"/>
      <c r="E244" s="235"/>
      <c r="F244" s="236"/>
      <c r="G244" s="239"/>
      <c r="H244" s="248"/>
      <c r="I244" s="234"/>
      <c r="J244" s="235"/>
      <c r="K244" s="235"/>
      <c r="L244" s="235"/>
      <c r="M244" s="236"/>
      <c r="N244" s="239"/>
      <c r="O244" s="252"/>
      <c r="P244" s="234"/>
      <c r="Q244" s="235"/>
      <c r="R244" s="235"/>
      <c r="S244" s="235"/>
      <c r="T244" s="236"/>
      <c r="U244" s="239"/>
      <c r="V244" s="520"/>
      <c r="W244" s="234" t="s">
        <v>231</v>
      </c>
      <c r="X244" s="235">
        <f t="shared" si="48"/>
        <v>0</v>
      </c>
      <c r="Y244" s="235">
        <f t="shared" si="46"/>
        <v>0</v>
      </c>
      <c r="Z244" s="235">
        <f t="shared" si="51"/>
        <v>0</v>
      </c>
      <c r="AA244" s="247">
        <f t="shared" si="49"/>
        <v>0</v>
      </c>
      <c r="AB244" s="238"/>
      <c r="AC244" s="520"/>
      <c r="AD244" s="234" t="s">
        <v>231</v>
      </c>
      <c r="AE244" s="235">
        <f t="shared" si="45"/>
        <v>0</v>
      </c>
      <c r="AF244" s="235">
        <f t="shared" si="47"/>
        <v>0</v>
      </c>
      <c r="AG244" s="235">
        <f t="shared" si="44"/>
        <v>0</v>
      </c>
      <c r="AH244" s="247">
        <f t="shared" si="50"/>
        <v>0</v>
      </c>
      <c r="AI244" s="238"/>
      <c r="AK244" s="240"/>
    </row>
    <row r="245" spans="1:37" x14ac:dyDescent="0.2">
      <c r="A245" s="248"/>
      <c r="B245" s="234"/>
      <c r="C245" s="235"/>
      <c r="D245" s="235"/>
      <c r="E245" s="235"/>
      <c r="F245" s="236"/>
      <c r="G245" s="239"/>
      <c r="H245" s="248"/>
      <c r="I245" s="234"/>
      <c r="J245" s="235"/>
      <c r="K245" s="235"/>
      <c r="L245" s="235"/>
      <c r="M245" s="236"/>
      <c r="N245" s="239"/>
      <c r="O245" s="252"/>
      <c r="P245" s="234"/>
      <c r="Q245" s="235"/>
      <c r="R245" s="235"/>
      <c r="S245" s="235"/>
      <c r="T245" s="236"/>
      <c r="U245" s="239"/>
      <c r="V245" s="520"/>
      <c r="W245" s="234" t="s">
        <v>232</v>
      </c>
      <c r="X245" s="235">
        <f t="shared" si="48"/>
        <v>0</v>
      </c>
      <c r="Y245" s="235">
        <f t="shared" si="46"/>
        <v>0</v>
      </c>
      <c r="Z245" s="235">
        <f t="shared" si="51"/>
        <v>0</v>
      </c>
      <c r="AA245" s="247">
        <f t="shared" si="49"/>
        <v>0</v>
      </c>
      <c r="AB245" s="238"/>
      <c r="AC245" s="520"/>
      <c r="AD245" s="234" t="s">
        <v>232</v>
      </c>
      <c r="AE245" s="235">
        <f t="shared" si="45"/>
        <v>0</v>
      </c>
      <c r="AF245" s="235">
        <f t="shared" si="47"/>
        <v>0</v>
      </c>
      <c r="AG245" s="235">
        <f t="shared" si="44"/>
        <v>0</v>
      </c>
      <c r="AH245" s="247">
        <f t="shared" si="50"/>
        <v>0</v>
      </c>
      <c r="AI245" s="238"/>
      <c r="AK245" s="240"/>
    </row>
    <row r="246" spans="1:37" x14ac:dyDescent="0.2">
      <c r="A246" s="248"/>
      <c r="B246" s="234"/>
      <c r="C246" s="235"/>
      <c r="D246" s="235"/>
      <c r="E246" s="235"/>
      <c r="F246" s="236"/>
      <c r="G246" s="239"/>
      <c r="H246" s="248"/>
      <c r="I246" s="234"/>
      <c r="J246" s="235"/>
      <c r="K246" s="235"/>
      <c r="L246" s="235"/>
      <c r="M246" s="236"/>
      <c r="N246" s="239"/>
      <c r="O246" s="252"/>
      <c r="P246" s="234"/>
      <c r="Q246" s="235"/>
      <c r="R246" s="235"/>
      <c r="S246" s="235"/>
      <c r="T246" s="236"/>
      <c r="U246" s="239"/>
      <c r="V246" s="520"/>
      <c r="W246" s="234" t="s">
        <v>233</v>
      </c>
      <c r="X246" s="235">
        <f t="shared" si="48"/>
        <v>0</v>
      </c>
      <c r="Y246" s="235">
        <f t="shared" si="46"/>
        <v>0</v>
      </c>
      <c r="Z246" s="235">
        <f t="shared" si="51"/>
        <v>0</v>
      </c>
      <c r="AA246" s="247">
        <f t="shared" si="49"/>
        <v>0</v>
      </c>
      <c r="AB246" s="238"/>
      <c r="AC246" s="520"/>
      <c r="AD246" s="234" t="s">
        <v>233</v>
      </c>
      <c r="AE246" s="235">
        <f t="shared" si="45"/>
        <v>0</v>
      </c>
      <c r="AF246" s="235">
        <f t="shared" si="47"/>
        <v>0</v>
      </c>
      <c r="AG246" s="235">
        <f t="shared" si="44"/>
        <v>0</v>
      </c>
      <c r="AH246" s="247">
        <f t="shared" si="50"/>
        <v>0</v>
      </c>
      <c r="AI246" s="238"/>
      <c r="AK246" s="240"/>
    </row>
    <row r="247" spans="1:37" x14ac:dyDescent="0.2">
      <c r="A247" s="248"/>
      <c r="B247" s="234"/>
      <c r="C247" s="235"/>
      <c r="D247" s="235"/>
      <c r="E247" s="235"/>
      <c r="F247" s="236"/>
      <c r="G247" s="239"/>
      <c r="H247" s="248"/>
      <c r="I247" s="234"/>
      <c r="J247" s="235"/>
      <c r="K247" s="235"/>
      <c r="L247" s="235"/>
      <c r="M247" s="236"/>
      <c r="N247" s="239"/>
      <c r="O247" s="252"/>
      <c r="P247" s="234"/>
      <c r="Q247" s="235"/>
      <c r="R247" s="235"/>
      <c r="S247" s="235"/>
      <c r="T247" s="236"/>
      <c r="U247" s="239"/>
      <c r="V247" s="520"/>
      <c r="W247" s="234" t="s">
        <v>234</v>
      </c>
      <c r="X247" s="235">
        <f t="shared" si="48"/>
        <v>0</v>
      </c>
      <c r="Y247" s="235">
        <f t="shared" si="46"/>
        <v>0</v>
      </c>
      <c r="Z247" s="235">
        <f t="shared" si="51"/>
        <v>0</v>
      </c>
      <c r="AA247" s="247">
        <f t="shared" si="49"/>
        <v>0</v>
      </c>
      <c r="AB247" s="238"/>
      <c r="AC247" s="520"/>
      <c r="AD247" s="234" t="s">
        <v>234</v>
      </c>
      <c r="AE247" s="235">
        <f t="shared" si="45"/>
        <v>0</v>
      </c>
      <c r="AF247" s="235">
        <f t="shared" si="47"/>
        <v>0</v>
      </c>
      <c r="AG247" s="235">
        <f t="shared" si="44"/>
        <v>0</v>
      </c>
      <c r="AH247" s="247">
        <f t="shared" si="50"/>
        <v>0</v>
      </c>
      <c r="AI247" s="238"/>
      <c r="AK247" s="240"/>
    </row>
    <row r="248" spans="1:37" x14ac:dyDescent="0.2">
      <c r="A248" s="248"/>
      <c r="B248" s="234"/>
      <c r="C248" s="235"/>
      <c r="D248" s="235"/>
      <c r="E248" s="235"/>
      <c r="F248" s="236"/>
      <c r="G248" s="239"/>
      <c r="H248" s="248"/>
      <c r="I248" s="234"/>
      <c r="J248" s="235"/>
      <c r="K248" s="235"/>
      <c r="L248" s="235"/>
      <c r="M248" s="236"/>
      <c r="N248" s="239"/>
      <c r="O248" s="252"/>
      <c r="P248" s="234"/>
      <c r="Q248" s="235"/>
      <c r="R248" s="235"/>
      <c r="S248" s="235"/>
      <c r="T248" s="236"/>
      <c r="U248" s="239"/>
      <c r="V248" s="520"/>
      <c r="W248" s="234" t="s">
        <v>235</v>
      </c>
      <c r="X248" s="235">
        <f t="shared" si="48"/>
        <v>0</v>
      </c>
      <c r="Y248" s="235">
        <f t="shared" si="46"/>
        <v>0</v>
      </c>
      <c r="Z248" s="235">
        <f t="shared" si="51"/>
        <v>0</v>
      </c>
      <c r="AA248" s="247">
        <f t="shared" si="49"/>
        <v>0</v>
      </c>
      <c r="AB248" s="238"/>
      <c r="AC248" s="520"/>
      <c r="AD248" s="234" t="s">
        <v>235</v>
      </c>
      <c r="AE248" s="235">
        <f t="shared" si="45"/>
        <v>0</v>
      </c>
      <c r="AF248" s="235">
        <f t="shared" si="47"/>
        <v>0</v>
      </c>
      <c r="AG248" s="235">
        <f t="shared" si="44"/>
        <v>0</v>
      </c>
      <c r="AH248" s="247">
        <f t="shared" si="50"/>
        <v>0</v>
      </c>
      <c r="AI248" s="238"/>
      <c r="AK248" s="240"/>
    </row>
    <row r="249" spans="1:37" x14ac:dyDescent="0.2">
      <c r="A249" s="248"/>
      <c r="B249" s="234"/>
      <c r="C249" s="235"/>
      <c r="D249" s="235"/>
      <c r="E249" s="235"/>
      <c r="F249" s="236"/>
      <c r="G249" s="239"/>
      <c r="H249" s="248"/>
      <c r="I249" s="234"/>
      <c r="J249" s="235"/>
      <c r="K249" s="235"/>
      <c r="L249" s="235"/>
      <c r="M249" s="236"/>
      <c r="N249" s="239"/>
      <c r="O249" s="252"/>
      <c r="P249" s="234"/>
      <c r="Q249" s="235"/>
      <c r="R249" s="235"/>
      <c r="S249" s="235"/>
      <c r="T249" s="236"/>
      <c r="U249" s="239"/>
      <c r="V249" s="521"/>
      <c r="W249" s="234" t="s">
        <v>236</v>
      </c>
      <c r="X249" s="235">
        <f t="shared" si="48"/>
        <v>0</v>
      </c>
      <c r="Y249" s="235">
        <f t="shared" si="46"/>
        <v>0</v>
      </c>
      <c r="Z249" s="235">
        <f t="shared" si="51"/>
        <v>0</v>
      </c>
      <c r="AA249" s="247">
        <f t="shared" si="49"/>
        <v>0</v>
      </c>
      <c r="AB249" s="239">
        <f>SUM(Y238:Y249)</f>
        <v>0</v>
      </c>
      <c r="AC249" s="521"/>
      <c r="AD249" s="234" t="s">
        <v>236</v>
      </c>
      <c r="AE249" s="235">
        <f t="shared" si="45"/>
        <v>0</v>
      </c>
      <c r="AF249" s="235">
        <f t="shared" si="47"/>
        <v>0</v>
      </c>
      <c r="AG249" s="235">
        <f t="shared" si="44"/>
        <v>0</v>
      </c>
      <c r="AH249" s="247">
        <f t="shared" si="50"/>
        <v>0</v>
      </c>
      <c r="AI249" s="239">
        <f>SUM(AF238:AF249)</f>
        <v>0</v>
      </c>
      <c r="AJ249" s="208">
        <f>V238</f>
        <v>2040</v>
      </c>
      <c r="AK249" s="240">
        <f>G249+N249+U249+AB249+AI249</f>
        <v>0</v>
      </c>
    </row>
    <row r="250" spans="1:37" x14ac:dyDescent="0.2">
      <c r="A250" s="248"/>
      <c r="B250" s="234"/>
      <c r="C250" s="235"/>
      <c r="D250" s="235"/>
      <c r="E250" s="235"/>
      <c r="F250" s="236"/>
      <c r="G250" s="239"/>
      <c r="H250" s="248"/>
      <c r="I250" s="234"/>
      <c r="J250" s="235"/>
      <c r="K250" s="235"/>
      <c r="L250" s="235"/>
      <c r="M250" s="236"/>
      <c r="N250" s="239"/>
      <c r="O250" s="252"/>
      <c r="P250" s="234"/>
      <c r="Q250" s="235"/>
      <c r="R250" s="235"/>
      <c r="S250" s="235"/>
      <c r="T250" s="236"/>
      <c r="U250" s="239"/>
      <c r="V250" s="519">
        <v>2041</v>
      </c>
      <c r="W250" s="234" t="s">
        <v>225</v>
      </c>
      <c r="X250" s="235">
        <f t="shared" si="48"/>
        <v>0</v>
      </c>
      <c r="Y250" s="235">
        <f t="shared" si="46"/>
        <v>0</v>
      </c>
      <c r="Z250" s="235">
        <f t="shared" si="51"/>
        <v>0</v>
      </c>
      <c r="AA250" s="247">
        <f t="shared" si="49"/>
        <v>0</v>
      </c>
      <c r="AB250" s="237"/>
      <c r="AC250" s="519">
        <v>2041</v>
      </c>
      <c r="AD250" s="234" t="s">
        <v>225</v>
      </c>
      <c r="AE250" s="235">
        <f t="shared" si="45"/>
        <v>0</v>
      </c>
      <c r="AF250" s="235">
        <f t="shared" si="47"/>
        <v>0</v>
      </c>
      <c r="AG250" s="235">
        <f t="shared" si="44"/>
        <v>0</v>
      </c>
      <c r="AH250" s="247">
        <f t="shared" si="50"/>
        <v>0</v>
      </c>
      <c r="AI250" s="237"/>
      <c r="AK250" s="240"/>
    </row>
    <row r="251" spans="1:37" x14ac:dyDescent="0.2">
      <c r="A251" s="248"/>
      <c r="B251" s="234"/>
      <c r="C251" s="235"/>
      <c r="D251" s="235"/>
      <c r="E251" s="235"/>
      <c r="F251" s="236"/>
      <c r="G251" s="239"/>
      <c r="H251" s="248"/>
      <c r="I251" s="234"/>
      <c r="J251" s="235"/>
      <c r="K251" s="235"/>
      <c r="L251" s="235"/>
      <c r="M251" s="236"/>
      <c r="N251" s="239"/>
      <c r="O251" s="252"/>
      <c r="P251" s="234"/>
      <c r="Q251" s="235"/>
      <c r="R251" s="235"/>
      <c r="S251" s="235"/>
      <c r="T251" s="236"/>
      <c r="U251" s="239"/>
      <c r="V251" s="520"/>
      <c r="W251" s="234" t="s">
        <v>226</v>
      </c>
      <c r="X251" s="235">
        <f t="shared" si="48"/>
        <v>0</v>
      </c>
      <c r="Y251" s="235">
        <f t="shared" si="46"/>
        <v>0</v>
      </c>
      <c r="Z251" s="235">
        <f t="shared" si="51"/>
        <v>0</v>
      </c>
      <c r="AA251" s="247">
        <f t="shared" si="49"/>
        <v>0</v>
      </c>
      <c r="AB251" s="238"/>
      <c r="AC251" s="520"/>
      <c r="AD251" s="234" t="s">
        <v>226</v>
      </c>
      <c r="AE251" s="235">
        <f t="shared" si="45"/>
        <v>0</v>
      </c>
      <c r="AF251" s="235">
        <f t="shared" si="47"/>
        <v>0</v>
      </c>
      <c r="AG251" s="235">
        <f t="shared" si="44"/>
        <v>0</v>
      </c>
      <c r="AH251" s="247">
        <f t="shared" si="50"/>
        <v>0</v>
      </c>
      <c r="AI251" s="238"/>
      <c r="AK251" s="240"/>
    </row>
    <row r="252" spans="1:37" x14ac:dyDescent="0.2">
      <c r="A252" s="248"/>
      <c r="B252" s="234"/>
      <c r="C252" s="235"/>
      <c r="D252" s="235"/>
      <c r="E252" s="235"/>
      <c r="F252" s="236"/>
      <c r="G252" s="239"/>
      <c r="H252" s="248"/>
      <c r="I252" s="234"/>
      <c r="J252" s="235"/>
      <c r="K252" s="235"/>
      <c r="L252" s="235"/>
      <c r="M252" s="236"/>
      <c r="N252" s="239"/>
      <c r="O252" s="252"/>
      <c r="P252" s="234"/>
      <c r="Q252" s="235"/>
      <c r="R252" s="235"/>
      <c r="S252" s="235"/>
      <c r="T252" s="236"/>
      <c r="U252" s="239"/>
      <c r="V252" s="520"/>
      <c r="W252" s="234" t="s">
        <v>227</v>
      </c>
      <c r="X252" s="235">
        <f t="shared" si="48"/>
        <v>0</v>
      </c>
      <c r="Y252" s="235">
        <f t="shared" si="46"/>
        <v>0</v>
      </c>
      <c r="Z252" s="235">
        <f t="shared" si="51"/>
        <v>0</v>
      </c>
      <c r="AA252" s="247">
        <f t="shared" si="49"/>
        <v>0</v>
      </c>
      <c r="AB252" s="238"/>
      <c r="AC252" s="520"/>
      <c r="AD252" s="234" t="s">
        <v>227</v>
      </c>
      <c r="AE252" s="235">
        <f t="shared" si="45"/>
        <v>0</v>
      </c>
      <c r="AF252" s="235">
        <f t="shared" si="47"/>
        <v>0</v>
      </c>
      <c r="AG252" s="235">
        <f t="shared" si="44"/>
        <v>0</v>
      </c>
      <c r="AH252" s="247">
        <f t="shared" si="50"/>
        <v>0</v>
      </c>
      <c r="AI252" s="238"/>
      <c r="AK252" s="240"/>
    </row>
    <row r="253" spans="1:37" x14ac:dyDescent="0.2">
      <c r="A253" s="248"/>
      <c r="B253" s="234"/>
      <c r="C253" s="235"/>
      <c r="D253" s="235"/>
      <c r="E253" s="235"/>
      <c r="F253" s="236"/>
      <c r="G253" s="239"/>
      <c r="H253" s="248"/>
      <c r="I253" s="234"/>
      <c r="J253" s="235"/>
      <c r="K253" s="235"/>
      <c r="L253" s="235"/>
      <c r="M253" s="236"/>
      <c r="N253" s="239"/>
      <c r="O253" s="252"/>
      <c r="P253" s="234"/>
      <c r="Q253" s="235"/>
      <c r="R253" s="235"/>
      <c r="S253" s="235"/>
      <c r="T253" s="236"/>
      <c r="U253" s="239"/>
      <c r="V253" s="520"/>
      <c r="W253" s="234" t="s">
        <v>228</v>
      </c>
      <c r="X253" s="235">
        <f t="shared" si="48"/>
        <v>0</v>
      </c>
      <c r="Y253" s="235">
        <f t="shared" si="46"/>
        <v>0</v>
      </c>
      <c r="Z253" s="235">
        <f t="shared" si="51"/>
        <v>0</v>
      </c>
      <c r="AA253" s="247">
        <f t="shared" si="49"/>
        <v>0</v>
      </c>
      <c r="AB253" s="238"/>
      <c r="AC253" s="520"/>
      <c r="AD253" s="234" t="s">
        <v>228</v>
      </c>
      <c r="AE253" s="235">
        <f t="shared" si="45"/>
        <v>0</v>
      </c>
      <c r="AF253" s="235">
        <f t="shared" si="47"/>
        <v>0</v>
      </c>
      <c r="AG253" s="235">
        <f t="shared" si="44"/>
        <v>0</v>
      </c>
      <c r="AH253" s="247">
        <f t="shared" si="50"/>
        <v>0</v>
      </c>
      <c r="AI253" s="238"/>
      <c r="AK253" s="240"/>
    </row>
    <row r="254" spans="1:37" x14ac:dyDescent="0.2">
      <c r="A254" s="248"/>
      <c r="B254" s="234"/>
      <c r="C254" s="235"/>
      <c r="D254" s="235"/>
      <c r="E254" s="235"/>
      <c r="F254" s="236"/>
      <c r="G254" s="239"/>
      <c r="H254" s="248"/>
      <c r="I254" s="234"/>
      <c r="J254" s="235"/>
      <c r="K254" s="235"/>
      <c r="L254" s="235"/>
      <c r="M254" s="236"/>
      <c r="N254" s="239"/>
      <c r="O254" s="252"/>
      <c r="P254" s="234"/>
      <c r="Q254" s="235"/>
      <c r="R254" s="235"/>
      <c r="S254" s="235"/>
      <c r="T254" s="236"/>
      <c r="U254" s="239"/>
      <c r="V254" s="520"/>
      <c r="W254" s="234" t="s">
        <v>229</v>
      </c>
      <c r="X254" s="235">
        <f t="shared" si="48"/>
        <v>0</v>
      </c>
      <c r="Y254" s="235">
        <f t="shared" si="46"/>
        <v>0</v>
      </c>
      <c r="Z254" s="235">
        <f t="shared" si="51"/>
        <v>0</v>
      </c>
      <c r="AA254" s="247">
        <f t="shared" si="49"/>
        <v>0</v>
      </c>
      <c r="AB254" s="238"/>
      <c r="AC254" s="520"/>
      <c r="AD254" s="234" t="s">
        <v>229</v>
      </c>
      <c r="AE254" s="235">
        <f t="shared" si="45"/>
        <v>0</v>
      </c>
      <c r="AF254" s="235">
        <f t="shared" si="47"/>
        <v>0</v>
      </c>
      <c r="AG254" s="235">
        <f t="shared" si="44"/>
        <v>0</v>
      </c>
      <c r="AH254" s="247">
        <f t="shared" si="50"/>
        <v>0</v>
      </c>
      <c r="AI254" s="238"/>
      <c r="AK254" s="240"/>
    </row>
    <row r="255" spans="1:37" x14ac:dyDescent="0.2">
      <c r="A255" s="248"/>
      <c r="B255" s="234"/>
      <c r="C255" s="235"/>
      <c r="D255" s="235"/>
      <c r="E255" s="235"/>
      <c r="F255" s="236"/>
      <c r="G255" s="239"/>
      <c r="H255" s="248"/>
      <c r="I255" s="234"/>
      <c r="J255" s="235"/>
      <c r="K255" s="235"/>
      <c r="L255" s="235"/>
      <c r="M255" s="236"/>
      <c r="N255" s="239"/>
      <c r="O255" s="252"/>
      <c r="P255" s="234"/>
      <c r="Q255" s="235"/>
      <c r="R255" s="235"/>
      <c r="S255" s="235"/>
      <c r="T255" s="236"/>
      <c r="U255" s="239"/>
      <c r="V255" s="520"/>
      <c r="W255" s="234" t="s">
        <v>230</v>
      </c>
      <c r="X255" s="235">
        <f t="shared" si="48"/>
        <v>0</v>
      </c>
      <c r="Y255" s="235">
        <f t="shared" si="46"/>
        <v>0</v>
      </c>
      <c r="Z255" s="235">
        <f t="shared" si="51"/>
        <v>0</v>
      </c>
      <c r="AA255" s="247">
        <f t="shared" si="49"/>
        <v>0</v>
      </c>
      <c r="AB255" s="238"/>
      <c r="AC255" s="520"/>
      <c r="AD255" s="234" t="s">
        <v>230</v>
      </c>
      <c r="AE255" s="235">
        <f t="shared" si="45"/>
        <v>0</v>
      </c>
      <c r="AF255" s="235">
        <f t="shared" si="47"/>
        <v>0</v>
      </c>
      <c r="AG255" s="235">
        <f t="shared" si="44"/>
        <v>0</v>
      </c>
      <c r="AH255" s="247">
        <f t="shared" si="50"/>
        <v>0</v>
      </c>
      <c r="AI255" s="238"/>
      <c r="AK255" s="240"/>
    </row>
    <row r="256" spans="1:37" x14ac:dyDescent="0.2">
      <c r="A256" s="248"/>
      <c r="B256" s="234"/>
      <c r="C256" s="235"/>
      <c r="D256" s="235"/>
      <c r="E256" s="235"/>
      <c r="F256" s="236"/>
      <c r="G256" s="239"/>
      <c r="H256" s="248"/>
      <c r="I256" s="234"/>
      <c r="J256" s="235"/>
      <c r="K256" s="235"/>
      <c r="L256" s="235"/>
      <c r="M256" s="236"/>
      <c r="N256" s="239"/>
      <c r="O256" s="252"/>
      <c r="P256" s="234"/>
      <c r="Q256" s="235"/>
      <c r="R256" s="235"/>
      <c r="S256" s="235"/>
      <c r="T256" s="236"/>
      <c r="U256" s="239"/>
      <c r="V256" s="520"/>
      <c r="W256" s="234" t="s">
        <v>231</v>
      </c>
      <c r="X256" s="235">
        <f t="shared" si="48"/>
        <v>0</v>
      </c>
      <c r="Y256" s="235">
        <f t="shared" si="46"/>
        <v>0</v>
      </c>
      <c r="Z256" s="235">
        <f t="shared" si="51"/>
        <v>0</v>
      </c>
      <c r="AA256" s="247">
        <f t="shared" si="49"/>
        <v>0</v>
      </c>
      <c r="AB256" s="238"/>
      <c r="AC256" s="520"/>
      <c r="AD256" s="234" t="s">
        <v>231</v>
      </c>
      <c r="AE256" s="235">
        <f t="shared" si="45"/>
        <v>0</v>
      </c>
      <c r="AF256" s="235">
        <f t="shared" si="47"/>
        <v>0</v>
      </c>
      <c r="AG256" s="235">
        <f t="shared" ref="AG256:AG309" si="52">AE$7/AF$8</f>
        <v>0</v>
      </c>
      <c r="AH256" s="247">
        <f t="shared" si="50"/>
        <v>0</v>
      </c>
      <c r="AI256" s="238"/>
      <c r="AK256" s="240"/>
    </row>
    <row r="257" spans="1:37" x14ac:dyDescent="0.2">
      <c r="A257" s="248"/>
      <c r="B257" s="234"/>
      <c r="C257" s="235"/>
      <c r="D257" s="235"/>
      <c r="E257" s="235"/>
      <c r="F257" s="236"/>
      <c r="G257" s="239"/>
      <c r="H257" s="248"/>
      <c r="I257" s="234"/>
      <c r="J257" s="235"/>
      <c r="K257" s="235"/>
      <c r="L257" s="235"/>
      <c r="M257" s="236"/>
      <c r="N257" s="239"/>
      <c r="O257" s="252"/>
      <c r="P257" s="234"/>
      <c r="Q257" s="235"/>
      <c r="R257" s="235"/>
      <c r="S257" s="235"/>
      <c r="T257" s="236"/>
      <c r="U257" s="239"/>
      <c r="V257" s="520"/>
      <c r="W257" s="234" t="s">
        <v>232</v>
      </c>
      <c r="X257" s="235">
        <f t="shared" si="48"/>
        <v>0</v>
      </c>
      <c r="Y257" s="235">
        <f t="shared" si="46"/>
        <v>0</v>
      </c>
      <c r="Z257" s="235">
        <f t="shared" si="51"/>
        <v>0</v>
      </c>
      <c r="AA257" s="247">
        <f t="shared" si="49"/>
        <v>0</v>
      </c>
      <c r="AB257" s="238"/>
      <c r="AC257" s="520"/>
      <c r="AD257" s="234" t="s">
        <v>232</v>
      </c>
      <c r="AE257" s="235">
        <f t="shared" si="45"/>
        <v>0</v>
      </c>
      <c r="AF257" s="235">
        <f t="shared" si="47"/>
        <v>0</v>
      </c>
      <c r="AG257" s="235">
        <f t="shared" si="52"/>
        <v>0</v>
      </c>
      <c r="AH257" s="247">
        <f t="shared" si="50"/>
        <v>0</v>
      </c>
      <c r="AI257" s="238"/>
      <c r="AK257" s="240"/>
    </row>
    <row r="258" spans="1:37" x14ac:dyDescent="0.2">
      <c r="A258" s="248"/>
      <c r="B258" s="234"/>
      <c r="C258" s="235"/>
      <c r="D258" s="235"/>
      <c r="E258" s="235"/>
      <c r="F258" s="236"/>
      <c r="G258" s="239"/>
      <c r="H258" s="248"/>
      <c r="I258" s="234"/>
      <c r="J258" s="235"/>
      <c r="K258" s="235"/>
      <c r="L258" s="235"/>
      <c r="M258" s="236"/>
      <c r="N258" s="239"/>
      <c r="O258" s="252"/>
      <c r="P258" s="234"/>
      <c r="Q258" s="235"/>
      <c r="R258" s="235"/>
      <c r="S258" s="235"/>
      <c r="T258" s="236"/>
      <c r="U258" s="239"/>
      <c r="V258" s="520"/>
      <c r="W258" s="234" t="s">
        <v>233</v>
      </c>
      <c r="X258" s="235">
        <f t="shared" si="48"/>
        <v>0</v>
      </c>
      <c r="Y258" s="235">
        <f t="shared" si="46"/>
        <v>0</v>
      </c>
      <c r="Z258" s="235">
        <f t="shared" si="51"/>
        <v>0</v>
      </c>
      <c r="AA258" s="247">
        <f t="shared" si="49"/>
        <v>0</v>
      </c>
      <c r="AB258" s="238"/>
      <c r="AC258" s="520"/>
      <c r="AD258" s="234" t="s">
        <v>233</v>
      </c>
      <c r="AE258" s="235">
        <f t="shared" si="45"/>
        <v>0</v>
      </c>
      <c r="AF258" s="235">
        <f t="shared" si="47"/>
        <v>0</v>
      </c>
      <c r="AG258" s="235">
        <f t="shared" si="52"/>
        <v>0</v>
      </c>
      <c r="AH258" s="247">
        <f t="shared" si="50"/>
        <v>0</v>
      </c>
      <c r="AI258" s="238"/>
      <c r="AK258" s="240"/>
    </row>
    <row r="259" spans="1:37" x14ac:dyDescent="0.2">
      <c r="A259" s="248"/>
      <c r="B259" s="234"/>
      <c r="C259" s="235"/>
      <c r="D259" s="235"/>
      <c r="E259" s="235"/>
      <c r="F259" s="236"/>
      <c r="G259" s="239"/>
      <c r="H259" s="248"/>
      <c r="I259" s="234"/>
      <c r="J259" s="235"/>
      <c r="K259" s="235"/>
      <c r="L259" s="235"/>
      <c r="M259" s="236"/>
      <c r="N259" s="239"/>
      <c r="O259" s="252"/>
      <c r="P259" s="234"/>
      <c r="Q259" s="235"/>
      <c r="R259" s="235"/>
      <c r="S259" s="235"/>
      <c r="T259" s="236"/>
      <c r="U259" s="239"/>
      <c r="V259" s="520"/>
      <c r="W259" s="234" t="s">
        <v>234</v>
      </c>
      <c r="X259" s="235">
        <f t="shared" si="48"/>
        <v>0</v>
      </c>
      <c r="Y259" s="235">
        <f t="shared" si="46"/>
        <v>0</v>
      </c>
      <c r="Z259" s="235">
        <f t="shared" si="51"/>
        <v>0</v>
      </c>
      <c r="AA259" s="247">
        <f t="shared" si="49"/>
        <v>0</v>
      </c>
      <c r="AB259" s="238"/>
      <c r="AC259" s="520"/>
      <c r="AD259" s="234" t="s">
        <v>234</v>
      </c>
      <c r="AE259" s="235">
        <f t="shared" si="45"/>
        <v>0</v>
      </c>
      <c r="AF259" s="235">
        <f t="shared" si="47"/>
        <v>0</v>
      </c>
      <c r="AG259" s="235">
        <f t="shared" si="52"/>
        <v>0</v>
      </c>
      <c r="AH259" s="247">
        <f t="shared" si="50"/>
        <v>0</v>
      </c>
      <c r="AI259" s="238"/>
      <c r="AK259" s="240"/>
    </row>
    <row r="260" spans="1:37" x14ac:dyDescent="0.2">
      <c r="A260" s="248"/>
      <c r="B260" s="234"/>
      <c r="C260" s="235"/>
      <c r="D260" s="235"/>
      <c r="E260" s="235"/>
      <c r="F260" s="236"/>
      <c r="G260" s="239"/>
      <c r="H260" s="248"/>
      <c r="I260" s="234"/>
      <c r="J260" s="235"/>
      <c r="K260" s="235"/>
      <c r="L260" s="235"/>
      <c r="M260" s="236"/>
      <c r="N260" s="239"/>
      <c r="O260" s="252"/>
      <c r="P260" s="234"/>
      <c r="Q260" s="235"/>
      <c r="R260" s="235"/>
      <c r="S260" s="235"/>
      <c r="T260" s="236"/>
      <c r="U260" s="239"/>
      <c r="V260" s="520"/>
      <c r="W260" s="234" t="s">
        <v>235</v>
      </c>
      <c r="X260" s="235">
        <f t="shared" si="48"/>
        <v>0</v>
      </c>
      <c r="Y260" s="235">
        <f t="shared" si="46"/>
        <v>0</v>
      </c>
      <c r="Z260" s="235">
        <f t="shared" si="51"/>
        <v>0</v>
      </c>
      <c r="AA260" s="247">
        <f t="shared" si="49"/>
        <v>0</v>
      </c>
      <c r="AB260" s="238"/>
      <c r="AC260" s="520"/>
      <c r="AD260" s="234" t="s">
        <v>235</v>
      </c>
      <c r="AE260" s="235">
        <f t="shared" si="45"/>
        <v>0</v>
      </c>
      <c r="AF260" s="235">
        <f t="shared" si="47"/>
        <v>0</v>
      </c>
      <c r="AG260" s="235">
        <f t="shared" si="52"/>
        <v>0</v>
      </c>
      <c r="AH260" s="247">
        <f t="shared" si="50"/>
        <v>0</v>
      </c>
      <c r="AI260" s="238"/>
      <c r="AK260" s="240"/>
    </row>
    <row r="261" spans="1:37" x14ac:dyDescent="0.2">
      <c r="A261" s="248"/>
      <c r="B261" s="234"/>
      <c r="C261" s="235"/>
      <c r="D261" s="235"/>
      <c r="E261" s="235"/>
      <c r="F261" s="236"/>
      <c r="G261" s="239"/>
      <c r="H261" s="248"/>
      <c r="I261" s="234"/>
      <c r="J261" s="235"/>
      <c r="K261" s="235"/>
      <c r="L261" s="235"/>
      <c r="M261" s="236"/>
      <c r="N261" s="239"/>
      <c r="O261" s="252"/>
      <c r="P261" s="234"/>
      <c r="Q261" s="235"/>
      <c r="R261" s="235"/>
      <c r="S261" s="235"/>
      <c r="T261" s="236"/>
      <c r="U261" s="239"/>
      <c r="V261" s="521"/>
      <c r="W261" s="234" t="s">
        <v>236</v>
      </c>
      <c r="X261" s="235">
        <f t="shared" si="48"/>
        <v>0</v>
      </c>
      <c r="Y261" s="235">
        <f t="shared" si="46"/>
        <v>0</v>
      </c>
      <c r="Z261" s="235">
        <f t="shared" si="51"/>
        <v>0</v>
      </c>
      <c r="AA261" s="247">
        <f t="shared" si="49"/>
        <v>0</v>
      </c>
      <c r="AB261" s="239">
        <f>SUM(Y250:Y261)</f>
        <v>0</v>
      </c>
      <c r="AC261" s="521"/>
      <c r="AD261" s="234" t="s">
        <v>236</v>
      </c>
      <c r="AE261" s="235">
        <f t="shared" si="45"/>
        <v>0</v>
      </c>
      <c r="AF261" s="235">
        <f t="shared" si="47"/>
        <v>0</v>
      </c>
      <c r="AG261" s="235">
        <f t="shared" si="52"/>
        <v>0</v>
      </c>
      <c r="AH261" s="247">
        <f t="shared" si="50"/>
        <v>0</v>
      </c>
      <c r="AI261" s="239">
        <f>SUM(AF250:AF261)</f>
        <v>0</v>
      </c>
      <c r="AJ261" s="208">
        <f>V250</f>
        <v>2041</v>
      </c>
      <c r="AK261" s="240">
        <f>G261+N261+U261+AB261+AI261</f>
        <v>0</v>
      </c>
    </row>
    <row r="262" spans="1:37" x14ac:dyDescent="0.2">
      <c r="A262" s="248"/>
      <c r="B262" s="234"/>
      <c r="C262" s="235"/>
      <c r="D262" s="235"/>
      <c r="E262" s="235"/>
      <c r="F262" s="236"/>
      <c r="G262" s="239"/>
      <c r="H262" s="248"/>
      <c r="I262" s="234"/>
      <c r="J262" s="235"/>
      <c r="K262" s="235"/>
      <c r="L262" s="235"/>
      <c r="M262" s="236"/>
      <c r="N262" s="239"/>
      <c r="O262" s="252"/>
      <c r="P262" s="234"/>
      <c r="Q262" s="235"/>
      <c r="R262" s="235"/>
      <c r="S262" s="235"/>
      <c r="T262" s="236"/>
      <c r="U262" s="239"/>
      <c r="V262" s="519">
        <v>2042</v>
      </c>
      <c r="W262" s="234" t="s">
        <v>225</v>
      </c>
      <c r="X262" s="235">
        <f t="shared" si="48"/>
        <v>0</v>
      </c>
      <c r="Y262" s="235">
        <f t="shared" si="46"/>
        <v>0</v>
      </c>
      <c r="Z262" s="235">
        <f t="shared" si="51"/>
        <v>0</v>
      </c>
      <c r="AA262" s="247">
        <f t="shared" si="49"/>
        <v>0</v>
      </c>
      <c r="AB262" s="237"/>
      <c r="AC262" s="519">
        <v>2042</v>
      </c>
      <c r="AD262" s="234" t="s">
        <v>225</v>
      </c>
      <c r="AE262" s="235">
        <f t="shared" si="45"/>
        <v>0</v>
      </c>
      <c r="AF262" s="235">
        <f t="shared" si="47"/>
        <v>0</v>
      </c>
      <c r="AG262" s="235">
        <f t="shared" si="52"/>
        <v>0</v>
      </c>
      <c r="AH262" s="247">
        <f t="shared" si="50"/>
        <v>0</v>
      </c>
      <c r="AI262" s="237"/>
      <c r="AK262" s="240"/>
    </row>
    <row r="263" spans="1:37" x14ac:dyDescent="0.2">
      <c r="A263" s="248"/>
      <c r="B263" s="234"/>
      <c r="C263" s="235"/>
      <c r="D263" s="235"/>
      <c r="E263" s="235"/>
      <c r="F263" s="236"/>
      <c r="G263" s="239"/>
      <c r="H263" s="248"/>
      <c r="I263" s="234"/>
      <c r="J263" s="235"/>
      <c r="K263" s="235"/>
      <c r="L263" s="235"/>
      <c r="M263" s="236"/>
      <c r="N263" s="239"/>
      <c r="O263" s="252"/>
      <c r="P263" s="234"/>
      <c r="Q263" s="235"/>
      <c r="R263" s="235"/>
      <c r="S263" s="235"/>
      <c r="T263" s="236"/>
      <c r="U263" s="239"/>
      <c r="V263" s="520"/>
      <c r="W263" s="234" t="s">
        <v>226</v>
      </c>
      <c r="X263" s="235">
        <f t="shared" si="48"/>
        <v>0</v>
      </c>
      <c r="Y263" s="235">
        <f t="shared" si="46"/>
        <v>0</v>
      </c>
      <c r="Z263" s="235">
        <f t="shared" si="51"/>
        <v>0</v>
      </c>
      <c r="AA263" s="247">
        <f t="shared" si="49"/>
        <v>0</v>
      </c>
      <c r="AB263" s="238"/>
      <c r="AC263" s="520"/>
      <c r="AD263" s="234" t="s">
        <v>226</v>
      </c>
      <c r="AE263" s="235">
        <f t="shared" si="45"/>
        <v>0</v>
      </c>
      <c r="AF263" s="235">
        <f t="shared" si="47"/>
        <v>0</v>
      </c>
      <c r="AG263" s="235">
        <f t="shared" si="52"/>
        <v>0</v>
      </c>
      <c r="AH263" s="247">
        <f t="shared" si="50"/>
        <v>0</v>
      </c>
      <c r="AI263" s="238"/>
      <c r="AK263" s="240"/>
    </row>
    <row r="264" spans="1:37" x14ac:dyDescent="0.2">
      <c r="A264" s="248"/>
      <c r="B264" s="234"/>
      <c r="C264" s="235"/>
      <c r="D264" s="235"/>
      <c r="E264" s="235"/>
      <c r="F264" s="236"/>
      <c r="G264" s="239"/>
      <c r="H264" s="248"/>
      <c r="I264" s="234"/>
      <c r="J264" s="235"/>
      <c r="K264" s="235"/>
      <c r="L264" s="235"/>
      <c r="M264" s="236"/>
      <c r="N264" s="239"/>
      <c r="O264" s="252"/>
      <c r="P264" s="234"/>
      <c r="Q264" s="235"/>
      <c r="R264" s="235"/>
      <c r="S264" s="235"/>
      <c r="T264" s="236"/>
      <c r="U264" s="239"/>
      <c r="V264" s="520"/>
      <c r="W264" s="234" t="s">
        <v>227</v>
      </c>
      <c r="X264" s="235">
        <f t="shared" si="48"/>
        <v>0</v>
      </c>
      <c r="Y264" s="235">
        <f t="shared" si="46"/>
        <v>0</v>
      </c>
      <c r="Z264" s="235">
        <f t="shared" si="51"/>
        <v>0</v>
      </c>
      <c r="AA264" s="247">
        <f t="shared" si="49"/>
        <v>0</v>
      </c>
      <c r="AB264" s="238"/>
      <c r="AC264" s="520"/>
      <c r="AD264" s="234" t="s">
        <v>227</v>
      </c>
      <c r="AE264" s="235">
        <f t="shared" si="45"/>
        <v>0</v>
      </c>
      <c r="AF264" s="235">
        <f t="shared" si="47"/>
        <v>0</v>
      </c>
      <c r="AG264" s="235">
        <f t="shared" si="52"/>
        <v>0</v>
      </c>
      <c r="AH264" s="247">
        <f t="shared" si="50"/>
        <v>0</v>
      </c>
      <c r="AI264" s="238"/>
      <c r="AK264" s="240"/>
    </row>
    <row r="265" spans="1:37" x14ac:dyDescent="0.2">
      <c r="A265" s="248"/>
      <c r="B265" s="234"/>
      <c r="C265" s="235"/>
      <c r="D265" s="235"/>
      <c r="E265" s="235"/>
      <c r="F265" s="236"/>
      <c r="G265" s="239"/>
      <c r="H265" s="248"/>
      <c r="I265" s="234"/>
      <c r="J265" s="235"/>
      <c r="K265" s="235"/>
      <c r="L265" s="235"/>
      <c r="M265" s="236"/>
      <c r="N265" s="239"/>
      <c r="O265" s="252"/>
      <c r="P265" s="234"/>
      <c r="Q265" s="235"/>
      <c r="R265" s="235"/>
      <c r="S265" s="235"/>
      <c r="T265" s="236"/>
      <c r="U265" s="239"/>
      <c r="V265" s="520"/>
      <c r="W265" s="234" t="s">
        <v>228</v>
      </c>
      <c r="X265" s="235">
        <f t="shared" si="48"/>
        <v>0</v>
      </c>
      <c r="Y265" s="235">
        <f t="shared" si="46"/>
        <v>0</v>
      </c>
      <c r="Z265" s="235">
        <f t="shared" si="51"/>
        <v>0</v>
      </c>
      <c r="AA265" s="247">
        <f t="shared" si="49"/>
        <v>0</v>
      </c>
      <c r="AB265" s="238"/>
      <c r="AC265" s="520"/>
      <c r="AD265" s="234" t="s">
        <v>228</v>
      </c>
      <c r="AE265" s="235">
        <f t="shared" si="45"/>
        <v>0</v>
      </c>
      <c r="AF265" s="235">
        <f t="shared" si="47"/>
        <v>0</v>
      </c>
      <c r="AG265" s="235">
        <f t="shared" si="52"/>
        <v>0</v>
      </c>
      <c r="AH265" s="247">
        <f t="shared" si="50"/>
        <v>0</v>
      </c>
      <c r="AI265" s="238"/>
      <c r="AK265" s="240"/>
    </row>
    <row r="266" spans="1:37" x14ac:dyDescent="0.2">
      <c r="A266" s="248"/>
      <c r="B266" s="234"/>
      <c r="C266" s="235"/>
      <c r="D266" s="235"/>
      <c r="E266" s="235"/>
      <c r="F266" s="236"/>
      <c r="G266" s="239"/>
      <c r="H266" s="248"/>
      <c r="I266" s="234"/>
      <c r="J266" s="235"/>
      <c r="K266" s="235"/>
      <c r="L266" s="235"/>
      <c r="M266" s="236"/>
      <c r="N266" s="239"/>
      <c r="O266" s="252"/>
      <c r="P266" s="234"/>
      <c r="Q266" s="235"/>
      <c r="R266" s="235"/>
      <c r="S266" s="235"/>
      <c r="T266" s="236"/>
      <c r="U266" s="239"/>
      <c r="V266" s="520"/>
      <c r="W266" s="234" t="s">
        <v>229</v>
      </c>
      <c r="X266" s="235">
        <f t="shared" si="48"/>
        <v>0</v>
      </c>
      <c r="Y266" s="235">
        <f t="shared" si="46"/>
        <v>0</v>
      </c>
      <c r="Z266" s="235">
        <f t="shared" si="51"/>
        <v>0</v>
      </c>
      <c r="AA266" s="247">
        <f t="shared" si="49"/>
        <v>0</v>
      </c>
      <c r="AB266" s="238"/>
      <c r="AC266" s="520"/>
      <c r="AD266" s="234" t="s">
        <v>229</v>
      </c>
      <c r="AE266" s="235">
        <f t="shared" si="45"/>
        <v>0</v>
      </c>
      <c r="AF266" s="235">
        <f t="shared" si="47"/>
        <v>0</v>
      </c>
      <c r="AG266" s="235">
        <f t="shared" si="52"/>
        <v>0</v>
      </c>
      <c r="AH266" s="247">
        <f t="shared" si="50"/>
        <v>0</v>
      </c>
      <c r="AI266" s="238"/>
      <c r="AK266" s="240"/>
    </row>
    <row r="267" spans="1:37" x14ac:dyDescent="0.2">
      <c r="A267" s="248"/>
      <c r="B267" s="234"/>
      <c r="C267" s="235"/>
      <c r="D267" s="235"/>
      <c r="E267" s="235"/>
      <c r="F267" s="236"/>
      <c r="G267" s="239"/>
      <c r="H267" s="248"/>
      <c r="I267" s="234"/>
      <c r="J267" s="235"/>
      <c r="K267" s="235"/>
      <c r="L267" s="235"/>
      <c r="M267" s="236"/>
      <c r="N267" s="239"/>
      <c r="O267" s="252"/>
      <c r="P267" s="234"/>
      <c r="Q267" s="235"/>
      <c r="R267" s="235"/>
      <c r="S267" s="235"/>
      <c r="T267" s="236"/>
      <c r="U267" s="239"/>
      <c r="V267" s="520"/>
      <c r="W267" s="234" t="s">
        <v>230</v>
      </c>
      <c r="X267" s="235">
        <f t="shared" si="48"/>
        <v>0</v>
      </c>
      <c r="Y267" s="235">
        <f t="shared" si="46"/>
        <v>0</v>
      </c>
      <c r="Z267" s="235">
        <f t="shared" si="51"/>
        <v>0</v>
      </c>
      <c r="AA267" s="247">
        <f t="shared" si="49"/>
        <v>0</v>
      </c>
      <c r="AB267" s="238"/>
      <c r="AC267" s="520"/>
      <c r="AD267" s="234" t="s">
        <v>230</v>
      </c>
      <c r="AE267" s="235">
        <f t="shared" si="45"/>
        <v>0</v>
      </c>
      <c r="AF267" s="235">
        <f t="shared" si="47"/>
        <v>0</v>
      </c>
      <c r="AG267" s="235">
        <f t="shared" si="52"/>
        <v>0</v>
      </c>
      <c r="AH267" s="247">
        <f t="shared" si="50"/>
        <v>0</v>
      </c>
      <c r="AI267" s="238"/>
      <c r="AK267" s="240"/>
    </row>
    <row r="268" spans="1:37" x14ac:dyDescent="0.2">
      <c r="A268" s="248"/>
      <c r="B268" s="234"/>
      <c r="C268" s="235"/>
      <c r="D268" s="235"/>
      <c r="E268" s="235"/>
      <c r="F268" s="236"/>
      <c r="G268" s="239"/>
      <c r="H268" s="248"/>
      <c r="I268" s="234"/>
      <c r="J268" s="235"/>
      <c r="K268" s="235"/>
      <c r="L268" s="235"/>
      <c r="M268" s="236"/>
      <c r="N268" s="239"/>
      <c r="O268" s="252"/>
      <c r="P268" s="234"/>
      <c r="Q268" s="235"/>
      <c r="R268" s="235"/>
      <c r="S268" s="235"/>
      <c r="T268" s="236"/>
      <c r="U268" s="239"/>
      <c r="V268" s="520"/>
      <c r="W268" s="234" t="s">
        <v>231</v>
      </c>
      <c r="X268" s="235">
        <f t="shared" si="48"/>
        <v>0</v>
      </c>
      <c r="Y268" s="235">
        <f t="shared" si="46"/>
        <v>0</v>
      </c>
      <c r="Z268" s="235">
        <f t="shared" si="51"/>
        <v>0</v>
      </c>
      <c r="AA268" s="247">
        <f t="shared" si="49"/>
        <v>0</v>
      </c>
      <c r="AB268" s="238"/>
      <c r="AC268" s="520"/>
      <c r="AD268" s="234" t="s">
        <v>231</v>
      </c>
      <c r="AE268" s="235">
        <f t="shared" si="45"/>
        <v>0</v>
      </c>
      <c r="AF268" s="235">
        <f t="shared" si="47"/>
        <v>0</v>
      </c>
      <c r="AG268" s="235">
        <f t="shared" si="52"/>
        <v>0</v>
      </c>
      <c r="AH268" s="247">
        <f t="shared" si="50"/>
        <v>0</v>
      </c>
      <c r="AI268" s="238"/>
      <c r="AK268" s="240"/>
    </row>
    <row r="269" spans="1:37" x14ac:dyDescent="0.2">
      <c r="A269" s="248"/>
      <c r="B269" s="234"/>
      <c r="C269" s="235"/>
      <c r="D269" s="235"/>
      <c r="E269" s="235"/>
      <c r="F269" s="236"/>
      <c r="G269" s="239"/>
      <c r="H269" s="248"/>
      <c r="I269" s="234"/>
      <c r="J269" s="235"/>
      <c r="K269" s="235"/>
      <c r="L269" s="235"/>
      <c r="M269" s="236"/>
      <c r="N269" s="239"/>
      <c r="O269" s="252"/>
      <c r="P269" s="234"/>
      <c r="Q269" s="235"/>
      <c r="R269" s="235"/>
      <c r="S269" s="235"/>
      <c r="T269" s="236"/>
      <c r="U269" s="239"/>
      <c r="V269" s="520"/>
      <c r="W269" s="234" t="s">
        <v>232</v>
      </c>
      <c r="X269" s="235">
        <f t="shared" si="48"/>
        <v>0</v>
      </c>
      <c r="Y269" s="235">
        <f t="shared" si="46"/>
        <v>0</v>
      </c>
      <c r="Z269" s="235">
        <f t="shared" si="51"/>
        <v>0</v>
      </c>
      <c r="AA269" s="247">
        <f t="shared" si="49"/>
        <v>0</v>
      </c>
      <c r="AB269" s="238"/>
      <c r="AC269" s="520"/>
      <c r="AD269" s="234" t="s">
        <v>232</v>
      </c>
      <c r="AE269" s="235">
        <f t="shared" si="45"/>
        <v>0</v>
      </c>
      <c r="AF269" s="235">
        <f t="shared" si="47"/>
        <v>0</v>
      </c>
      <c r="AG269" s="235">
        <f t="shared" si="52"/>
        <v>0</v>
      </c>
      <c r="AH269" s="247">
        <f t="shared" si="50"/>
        <v>0</v>
      </c>
      <c r="AI269" s="238"/>
      <c r="AK269" s="240"/>
    </row>
    <row r="270" spans="1:37" x14ac:dyDescent="0.2">
      <c r="A270" s="248"/>
      <c r="B270" s="234"/>
      <c r="C270" s="235"/>
      <c r="D270" s="235"/>
      <c r="E270" s="235"/>
      <c r="F270" s="236"/>
      <c r="G270" s="239"/>
      <c r="H270" s="248"/>
      <c r="I270" s="234"/>
      <c r="J270" s="235"/>
      <c r="K270" s="235"/>
      <c r="L270" s="235"/>
      <c r="M270" s="236"/>
      <c r="N270" s="239"/>
      <c r="O270" s="252"/>
      <c r="P270" s="234"/>
      <c r="Q270" s="235"/>
      <c r="R270" s="235"/>
      <c r="S270" s="235"/>
      <c r="T270" s="236"/>
      <c r="U270" s="239"/>
      <c r="V270" s="520"/>
      <c r="W270" s="234" t="s">
        <v>233</v>
      </c>
      <c r="X270" s="235">
        <f t="shared" si="48"/>
        <v>0</v>
      </c>
      <c r="Y270" s="235">
        <f t="shared" si="46"/>
        <v>0</v>
      </c>
      <c r="Z270" s="235">
        <f t="shared" si="51"/>
        <v>0</v>
      </c>
      <c r="AA270" s="247">
        <f t="shared" si="49"/>
        <v>0</v>
      </c>
      <c r="AB270" s="238"/>
      <c r="AC270" s="520"/>
      <c r="AD270" s="234" t="s">
        <v>233</v>
      </c>
      <c r="AE270" s="235">
        <f t="shared" si="45"/>
        <v>0</v>
      </c>
      <c r="AF270" s="235">
        <f t="shared" si="47"/>
        <v>0</v>
      </c>
      <c r="AG270" s="235">
        <f t="shared" si="52"/>
        <v>0</v>
      </c>
      <c r="AH270" s="247">
        <f t="shared" si="50"/>
        <v>0</v>
      </c>
      <c r="AI270" s="238"/>
      <c r="AK270" s="240"/>
    </row>
    <row r="271" spans="1:37" x14ac:dyDescent="0.2">
      <c r="A271" s="248"/>
      <c r="B271" s="234"/>
      <c r="C271" s="235"/>
      <c r="D271" s="235"/>
      <c r="E271" s="235"/>
      <c r="F271" s="236"/>
      <c r="G271" s="239"/>
      <c r="H271" s="248"/>
      <c r="I271" s="234"/>
      <c r="J271" s="235"/>
      <c r="K271" s="235"/>
      <c r="L271" s="235"/>
      <c r="M271" s="236"/>
      <c r="N271" s="239"/>
      <c r="O271" s="252"/>
      <c r="P271" s="234"/>
      <c r="Q271" s="235"/>
      <c r="R271" s="235"/>
      <c r="S271" s="235"/>
      <c r="T271" s="236"/>
      <c r="U271" s="239"/>
      <c r="V271" s="520"/>
      <c r="W271" s="234" t="s">
        <v>234</v>
      </c>
      <c r="X271" s="235">
        <f t="shared" si="48"/>
        <v>0</v>
      </c>
      <c r="Y271" s="235">
        <f t="shared" si="46"/>
        <v>0</v>
      </c>
      <c r="Z271" s="235">
        <f t="shared" si="51"/>
        <v>0</v>
      </c>
      <c r="AA271" s="247">
        <f t="shared" si="49"/>
        <v>0</v>
      </c>
      <c r="AB271" s="238"/>
      <c r="AC271" s="520"/>
      <c r="AD271" s="234" t="s">
        <v>234</v>
      </c>
      <c r="AE271" s="235">
        <f t="shared" ref="AE271:AE309" si="53">AE270-AG270</f>
        <v>0</v>
      </c>
      <c r="AF271" s="235">
        <f t="shared" si="47"/>
        <v>0</v>
      </c>
      <c r="AG271" s="235">
        <f t="shared" si="52"/>
        <v>0</v>
      </c>
      <c r="AH271" s="247">
        <f t="shared" si="50"/>
        <v>0</v>
      </c>
      <c r="AI271" s="238"/>
      <c r="AK271" s="240"/>
    </row>
    <row r="272" spans="1:37" x14ac:dyDescent="0.2">
      <c r="A272" s="248"/>
      <c r="B272" s="234"/>
      <c r="C272" s="235"/>
      <c r="D272" s="235"/>
      <c r="E272" s="235"/>
      <c r="F272" s="236"/>
      <c r="G272" s="239"/>
      <c r="H272" s="248"/>
      <c r="I272" s="234"/>
      <c r="J272" s="235"/>
      <c r="K272" s="235"/>
      <c r="L272" s="235"/>
      <c r="M272" s="236"/>
      <c r="N272" s="239"/>
      <c r="O272" s="252"/>
      <c r="P272" s="234"/>
      <c r="Q272" s="235"/>
      <c r="R272" s="235"/>
      <c r="S272" s="235"/>
      <c r="T272" s="236"/>
      <c r="U272" s="239"/>
      <c r="V272" s="520"/>
      <c r="W272" s="234" t="s">
        <v>235</v>
      </c>
      <c r="X272" s="235">
        <f t="shared" si="48"/>
        <v>0</v>
      </c>
      <c r="Y272" s="235">
        <f t="shared" si="46"/>
        <v>0</v>
      </c>
      <c r="Z272" s="235">
        <f t="shared" si="51"/>
        <v>0</v>
      </c>
      <c r="AA272" s="247">
        <f t="shared" si="49"/>
        <v>0</v>
      </c>
      <c r="AB272" s="238"/>
      <c r="AC272" s="520"/>
      <c r="AD272" s="234" t="s">
        <v>235</v>
      </c>
      <c r="AE272" s="235">
        <f t="shared" si="53"/>
        <v>0</v>
      </c>
      <c r="AF272" s="235">
        <f t="shared" si="47"/>
        <v>0</v>
      </c>
      <c r="AG272" s="235">
        <f t="shared" si="52"/>
        <v>0</v>
      </c>
      <c r="AH272" s="247">
        <f t="shared" si="50"/>
        <v>0</v>
      </c>
      <c r="AI272" s="238"/>
      <c r="AK272" s="240"/>
    </row>
    <row r="273" spans="1:37" x14ac:dyDescent="0.2">
      <c r="A273" s="248"/>
      <c r="B273" s="234"/>
      <c r="C273" s="235"/>
      <c r="D273" s="235"/>
      <c r="E273" s="235"/>
      <c r="F273" s="236"/>
      <c r="G273" s="239"/>
      <c r="H273" s="248"/>
      <c r="I273" s="234"/>
      <c r="J273" s="235"/>
      <c r="K273" s="235"/>
      <c r="L273" s="235"/>
      <c r="M273" s="236"/>
      <c r="N273" s="239"/>
      <c r="O273" s="252"/>
      <c r="P273" s="234"/>
      <c r="Q273" s="235"/>
      <c r="R273" s="235"/>
      <c r="S273" s="235"/>
      <c r="T273" s="236"/>
      <c r="U273" s="239"/>
      <c r="V273" s="521"/>
      <c r="W273" s="234" t="s">
        <v>236</v>
      </c>
      <c r="X273" s="235">
        <f t="shared" si="48"/>
        <v>0</v>
      </c>
      <c r="Y273" s="235">
        <f t="shared" si="46"/>
        <v>0</v>
      </c>
      <c r="Z273" s="235">
        <f t="shared" si="51"/>
        <v>0</v>
      </c>
      <c r="AA273" s="247">
        <f t="shared" si="49"/>
        <v>0</v>
      </c>
      <c r="AB273" s="239">
        <f>SUM(Y262:Y273)</f>
        <v>0</v>
      </c>
      <c r="AC273" s="521"/>
      <c r="AD273" s="234" t="s">
        <v>236</v>
      </c>
      <c r="AE273" s="235">
        <f t="shared" si="53"/>
        <v>0</v>
      </c>
      <c r="AF273" s="235">
        <f t="shared" si="47"/>
        <v>0</v>
      </c>
      <c r="AG273" s="235">
        <f t="shared" si="52"/>
        <v>0</v>
      </c>
      <c r="AH273" s="247">
        <f t="shared" si="50"/>
        <v>0</v>
      </c>
      <c r="AI273" s="239">
        <f>SUM(AF262:AF273)</f>
        <v>0</v>
      </c>
      <c r="AJ273" s="208">
        <f>V262</f>
        <v>2042</v>
      </c>
      <c r="AK273" s="240">
        <f>G273+N273+U273+AB273+AI273</f>
        <v>0</v>
      </c>
    </row>
    <row r="274" spans="1:37" x14ac:dyDescent="0.2">
      <c r="A274" s="248"/>
      <c r="B274" s="234"/>
      <c r="C274" s="235"/>
      <c r="D274" s="235"/>
      <c r="E274" s="235"/>
      <c r="F274" s="236"/>
      <c r="G274" s="239"/>
      <c r="H274" s="248"/>
      <c r="I274" s="234"/>
      <c r="J274" s="235"/>
      <c r="K274" s="235"/>
      <c r="L274" s="235"/>
      <c r="M274" s="236"/>
      <c r="N274" s="239"/>
      <c r="O274" s="513">
        <f>O190+1</f>
        <v>2037</v>
      </c>
      <c r="P274" s="234" t="s">
        <v>225</v>
      </c>
      <c r="Q274" s="235"/>
      <c r="R274" s="235"/>
      <c r="S274" s="235"/>
      <c r="T274" s="236">
        <f t="shared" ref="T274:T285" si="54">R274+S274</f>
        <v>0</v>
      </c>
      <c r="U274" s="239"/>
      <c r="V274" s="519">
        <v>2043</v>
      </c>
      <c r="W274" s="234" t="s">
        <v>225</v>
      </c>
      <c r="X274" s="235"/>
      <c r="Y274" s="235"/>
      <c r="Z274" s="235"/>
      <c r="AA274" s="247">
        <f t="shared" si="49"/>
        <v>0</v>
      </c>
      <c r="AB274" s="249"/>
      <c r="AC274" s="519">
        <v>2043</v>
      </c>
      <c r="AD274" s="234" t="s">
        <v>225</v>
      </c>
      <c r="AE274" s="235">
        <f t="shared" si="53"/>
        <v>0</v>
      </c>
      <c r="AF274" s="235">
        <f t="shared" si="47"/>
        <v>0</v>
      </c>
      <c r="AG274" s="235">
        <f t="shared" si="52"/>
        <v>0</v>
      </c>
      <c r="AH274" s="247">
        <f t="shared" si="50"/>
        <v>0</v>
      </c>
      <c r="AI274" s="249"/>
      <c r="AK274" s="240"/>
    </row>
    <row r="275" spans="1:37" x14ac:dyDescent="0.2">
      <c r="A275" s="248"/>
      <c r="B275" s="234"/>
      <c r="C275" s="235"/>
      <c r="D275" s="235"/>
      <c r="E275" s="235"/>
      <c r="F275" s="236"/>
      <c r="G275" s="239"/>
      <c r="H275" s="248"/>
      <c r="I275" s="234"/>
      <c r="J275" s="235"/>
      <c r="K275" s="235"/>
      <c r="L275" s="235"/>
      <c r="M275" s="236"/>
      <c r="N275" s="239"/>
      <c r="O275" s="514"/>
      <c r="P275" s="234" t="s">
        <v>226</v>
      </c>
      <c r="Q275" s="235"/>
      <c r="R275" s="235"/>
      <c r="S275" s="235"/>
      <c r="T275" s="236">
        <f t="shared" si="54"/>
        <v>0</v>
      </c>
      <c r="U275" s="239"/>
      <c r="V275" s="520"/>
      <c r="W275" s="234" t="s">
        <v>226</v>
      </c>
      <c r="X275" s="235"/>
      <c r="Y275" s="235"/>
      <c r="Z275" s="235"/>
      <c r="AA275" s="247">
        <f t="shared" si="49"/>
        <v>0</v>
      </c>
      <c r="AB275" s="250"/>
      <c r="AC275" s="520"/>
      <c r="AD275" s="234" t="s">
        <v>226</v>
      </c>
      <c r="AE275" s="235">
        <f t="shared" si="53"/>
        <v>0</v>
      </c>
      <c r="AF275" s="235">
        <f t="shared" si="47"/>
        <v>0</v>
      </c>
      <c r="AG275" s="235">
        <f t="shared" si="52"/>
        <v>0</v>
      </c>
      <c r="AH275" s="247">
        <f t="shared" si="50"/>
        <v>0</v>
      </c>
      <c r="AI275" s="250"/>
      <c r="AK275" s="240"/>
    </row>
    <row r="276" spans="1:37" x14ac:dyDescent="0.2">
      <c r="A276" s="248"/>
      <c r="B276" s="234"/>
      <c r="C276" s="235"/>
      <c r="D276" s="235"/>
      <c r="E276" s="235"/>
      <c r="F276" s="236"/>
      <c r="G276" s="239"/>
      <c r="H276" s="248"/>
      <c r="I276" s="234"/>
      <c r="J276" s="235"/>
      <c r="K276" s="235"/>
      <c r="L276" s="235"/>
      <c r="M276" s="236"/>
      <c r="N276" s="239"/>
      <c r="O276" s="514"/>
      <c r="P276" s="234" t="s">
        <v>227</v>
      </c>
      <c r="Q276" s="235"/>
      <c r="R276" s="235"/>
      <c r="S276" s="235"/>
      <c r="T276" s="236">
        <f t="shared" si="54"/>
        <v>0</v>
      </c>
      <c r="U276" s="239"/>
      <c r="V276" s="520"/>
      <c r="W276" s="234" t="s">
        <v>227</v>
      </c>
      <c r="X276" s="235"/>
      <c r="Y276" s="235"/>
      <c r="Z276" s="235"/>
      <c r="AA276" s="247">
        <f t="shared" si="49"/>
        <v>0</v>
      </c>
      <c r="AB276" s="250"/>
      <c r="AC276" s="520"/>
      <c r="AD276" s="234" t="s">
        <v>227</v>
      </c>
      <c r="AE276" s="235">
        <f t="shared" si="53"/>
        <v>0</v>
      </c>
      <c r="AF276" s="235">
        <f t="shared" si="47"/>
        <v>0</v>
      </c>
      <c r="AG276" s="235">
        <f t="shared" si="52"/>
        <v>0</v>
      </c>
      <c r="AH276" s="247">
        <f t="shared" si="50"/>
        <v>0</v>
      </c>
      <c r="AI276" s="250"/>
      <c r="AK276" s="240"/>
    </row>
    <row r="277" spans="1:37" x14ac:dyDescent="0.2">
      <c r="A277" s="248"/>
      <c r="B277" s="234"/>
      <c r="C277" s="235"/>
      <c r="D277" s="235"/>
      <c r="E277" s="235"/>
      <c r="F277" s="236"/>
      <c r="G277" s="239"/>
      <c r="H277" s="248"/>
      <c r="I277" s="234"/>
      <c r="J277" s="235"/>
      <c r="K277" s="235"/>
      <c r="L277" s="235"/>
      <c r="M277" s="236"/>
      <c r="N277" s="239"/>
      <c r="O277" s="514"/>
      <c r="P277" s="234" t="s">
        <v>228</v>
      </c>
      <c r="Q277" s="235"/>
      <c r="R277" s="235"/>
      <c r="S277" s="235"/>
      <c r="T277" s="236">
        <f t="shared" si="54"/>
        <v>0</v>
      </c>
      <c r="U277" s="239"/>
      <c r="V277" s="520"/>
      <c r="W277" s="234" t="s">
        <v>228</v>
      </c>
      <c r="X277" s="235"/>
      <c r="Y277" s="235"/>
      <c r="Z277" s="235"/>
      <c r="AA277" s="247">
        <f t="shared" si="49"/>
        <v>0</v>
      </c>
      <c r="AB277" s="250"/>
      <c r="AC277" s="520"/>
      <c r="AD277" s="234" t="s">
        <v>228</v>
      </c>
      <c r="AE277" s="235">
        <f t="shared" si="53"/>
        <v>0</v>
      </c>
      <c r="AF277" s="235">
        <f t="shared" si="47"/>
        <v>0</v>
      </c>
      <c r="AG277" s="235">
        <f t="shared" si="52"/>
        <v>0</v>
      </c>
      <c r="AH277" s="247">
        <f t="shared" si="50"/>
        <v>0</v>
      </c>
      <c r="AI277" s="250"/>
      <c r="AK277" s="240"/>
    </row>
    <row r="278" spans="1:37" x14ac:dyDescent="0.2">
      <c r="A278" s="248"/>
      <c r="B278" s="234"/>
      <c r="C278" s="235"/>
      <c r="D278" s="235"/>
      <c r="E278" s="235"/>
      <c r="F278" s="236"/>
      <c r="G278" s="239"/>
      <c r="H278" s="248"/>
      <c r="I278" s="234"/>
      <c r="J278" s="235"/>
      <c r="K278" s="235"/>
      <c r="L278" s="235"/>
      <c r="M278" s="236"/>
      <c r="N278" s="239"/>
      <c r="O278" s="514"/>
      <c r="P278" s="234" t="s">
        <v>229</v>
      </c>
      <c r="Q278" s="235"/>
      <c r="R278" s="235"/>
      <c r="S278" s="235"/>
      <c r="T278" s="236">
        <f t="shared" si="54"/>
        <v>0</v>
      </c>
      <c r="U278" s="239"/>
      <c r="V278" s="520"/>
      <c r="W278" s="234" t="s">
        <v>229</v>
      </c>
      <c r="X278" s="235"/>
      <c r="Y278" s="235"/>
      <c r="Z278" s="235"/>
      <c r="AA278" s="247">
        <f t="shared" si="49"/>
        <v>0</v>
      </c>
      <c r="AB278" s="250"/>
      <c r="AC278" s="520"/>
      <c r="AD278" s="234" t="s">
        <v>229</v>
      </c>
      <c r="AE278" s="235">
        <f t="shared" si="53"/>
        <v>0</v>
      </c>
      <c r="AF278" s="235">
        <f t="shared" si="47"/>
        <v>0</v>
      </c>
      <c r="AG278" s="235">
        <f t="shared" si="52"/>
        <v>0</v>
      </c>
      <c r="AH278" s="247">
        <f t="shared" si="50"/>
        <v>0</v>
      </c>
      <c r="AI278" s="250"/>
      <c r="AK278" s="240"/>
    </row>
    <row r="279" spans="1:37" x14ac:dyDescent="0.2">
      <c r="A279" s="248"/>
      <c r="B279" s="234"/>
      <c r="C279" s="235"/>
      <c r="D279" s="235"/>
      <c r="E279" s="235"/>
      <c r="F279" s="236"/>
      <c r="G279" s="239"/>
      <c r="H279" s="248"/>
      <c r="I279" s="234"/>
      <c r="J279" s="235"/>
      <c r="K279" s="235"/>
      <c r="L279" s="235"/>
      <c r="M279" s="236"/>
      <c r="N279" s="239"/>
      <c r="O279" s="514"/>
      <c r="P279" s="234" t="s">
        <v>230</v>
      </c>
      <c r="Q279" s="235"/>
      <c r="R279" s="235"/>
      <c r="S279" s="235"/>
      <c r="T279" s="236">
        <f t="shared" si="54"/>
        <v>0</v>
      </c>
      <c r="U279" s="239"/>
      <c r="V279" s="520"/>
      <c r="W279" s="234" t="s">
        <v>230</v>
      </c>
      <c r="X279" s="235"/>
      <c r="Y279" s="235"/>
      <c r="Z279" s="235"/>
      <c r="AA279" s="247">
        <f t="shared" si="49"/>
        <v>0</v>
      </c>
      <c r="AB279" s="250"/>
      <c r="AC279" s="520"/>
      <c r="AD279" s="234" t="s">
        <v>230</v>
      </c>
      <c r="AE279" s="235">
        <f t="shared" si="53"/>
        <v>0</v>
      </c>
      <c r="AF279" s="235">
        <f t="shared" si="47"/>
        <v>0</v>
      </c>
      <c r="AG279" s="235">
        <f t="shared" si="52"/>
        <v>0</v>
      </c>
      <c r="AH279" s="247">
        <f t="shared" si="50"/>
        <v>0</v>
      </c>
      <c r="AI279" s="250"/>
      <c r="AK279" s="240"/>
    </row>
    <row r="280" spans="1:37" x14ac:dyDescent="0.2">
      <c r="A280" s="248"/>
      <c r="B280" s="234"/>
      <c r="C280" s="235"/>
      <c r="D280" s="235"/>
      <c r="E280" s="235"/>
      <c r="F280" s="236"/>
      <c r="G280" s="239"/>
      <c r="H280" s="248"/>
      <c r="I280" s="234"/>
      <c r="J280" s="235"/>
      <c r="K280" s="235"/>
      <c r="L280" s="235"/>
      <c r="M280" s="236"/>
      <c r="N280" s="239"/>
      <c r="O280" s="514"/>
      <c r="P280" s="234" t="s">
        <v>231</v>
      </c>
      <c r="Q280" s="235"/>
      <c r="R280" s="235"/>
      <c r="S280" s="235"/>
      <c r="T280" s="236">
        <f t="shared" si="54"/>
        <v>0</v>
      </c>
      <c r="U280" s="239"/>
      <c r="V280" s="520"/>
      <c r="W280" s="234" t="s">
        <v>231</v>
      </c>
      <c r="X280" s="235"/>
      <c r="Y280" s="235"/>
      <c r="Z280" s="235"/>
      <c r="AA280" s="247">
        <f t="shared" si="49"/>
        <v>0</v>
      </c>
      <c r="AB280" s="250"/>
      <c r="AC280" s="520"/>
      <c r="AD280" s="234" t="s">
        <v>231</v>
      </c>
      <c r="AE280" s="235">
        <f t="shared" si="53"/>
        <v>0</v>
      </c>
      <c r="AF280" s="235">
        <f t="shared" si="47"/>
        <v>0</v>
      </c>
      <c r="AG280" s="235">
        <f t="shared" si="52"/>
        <v>0</v>
      </c>
      <c r="AH280" s="247">
        <f t="shared" si="50"/>
        <v>0</v>
      </c>
      <c r="AI280" s="250"/>
      <c r="AK280" s="240"/>
    </row>
    <row r="281" spans="1:37" x14ac:dyDescent="0.2">
      <c r="A281" s="248"/>
      <c r="B281" s="234"/>
      <c r="C281" s="235"/>
      <c r="D281" s="235"/>
      <c r="E281" s="235"/>
      <c r="F281" s="236"/>
      <c r="G281" s="239"/>
      <c r="H281" s="248"/>
      <c r="I281" s="234"/>
      <c r="J281" s="235"/>
      <c r="K281" s="235"/>
      <c r="L281" s="235"/>
      <c r="M281" s="236"/>
      <c r="N281" s="239"/>
      <c r="O281" s="514"/>
      <c r="P281" s="234" t="s">
        <v>232</v>
      </c>
      <c r="Q281" s="235"/>
      <c r="R281" s="235"/>
      <c r="S281" s="235"/>
      <c r="T281" s="236">
        <f t="shared" si="54"/>
        <v>0</v>
      </c>
      <c r="U281" s="239"/>
      <c r="V281" s="520"/>
      <c r="W281" s="234" t="s">
        <v>232</v>
      </c>
      <c r="X281" s="235"/>
      <c r="Y281" s="235"/>
      <c r="Z281" s="235"/>
      <c r="AA281" s="247">
        <f t="shared" si="49"/>
        <v>0</v>
      </c>
      <c r="AB281" s="250"/>
      <c r="AC281" s="520"/>
      <c r="AD281" s="234" t="s">
        <v>232</v>
      </c>
      <c r="AE281" s="235">
        <f t="shared" si="53"/>
        <v>0</v>
      </c>
      <c r="AF281" s="235">
        <f t="shared" si="47"/>
        <v>0</v>
      </c>
      <c r="AG281" s="235">
        <f t="shared" si="52"/>
        <v>0</v>
      </c>
      <c r="AH281" s="247">
        <f t="shared" si="50"/>
        <v>0</v>
      </c>
      <c r="AI281" s="250"/>
      <c r="AK281" s="240"/>
    </row>
    <row r="282" spans="1:37" x14ac:dyDescent="0.2">
      <c r="A282" s="248"/>
      <c r="B282" s="234"/>
      <c r="C282" s="235"/>
      <c r="D282" s="235"/>
      <c r="E282" s="235"/>
      <c r="F282" s="236"/>
      <c r="G282" s="239"/>
      <c r="H282" s="248"/>
      <c r="I282" s="234"/>
      <c r="J282" s="235"/>
      <c r="K282" s="235"/>
      <c r="L282" s="235"/>
      <c r="M282" s="236"/>
      <c r="N282" s="239"/>
      <c r="O282" s="514"/>
      <c r="P282" s="234" t="s">
        <v>233</v>
      </c>
      <c r="Q282" s="235"/>
      <c r="R282" s="235"/>
      <c r="S282" s="235"/>
      <c r="T282" s="236">
        <f t="shared" si="54"/>
        <v>0</v>
      </c>
      <c r="U282" s="239"/>
      <c r="V282" s="520"/>
      <c r="W282" s="234" t="s">
        <v>233</v>
      </c>
      <c r="X282" s="235"/>
      <c r="Y282" s="235"/>
      <c r="Z282" s="235"/>
      <c r="AA282" s="247">
        <f t="shared" si="49"/>
        <v>0</v>
      </c>
      <c r="AB282" s="250"/>
      <c r="AC282" s="520"/>
      <c r="AD282" s="234" t="s">
        <v>233</v>
      </c>
      <c r="AE282" s="235">
        <f t="shared" si="53"/>
        <v>0</v>
      </c>
      <c r="AF282" s="235">
        <f t="shared" si="47"/>
        <v>0</v>
      </c>
      <c r="AG282" s="235">
        <f t="shared" si="52"/>
        <v>0</v>
      </c>
      <c r="AH282" s="247">
        <f t="shared" si="50"/>
        <v>0</v>
      </c>
      <c r="AI282" s="250"/>
      <c r="AK282" s="240"/>
    </row>
    <row r="283" spans="1:37" x14ac:dyDescent="0.2">
      <c r="A283" s="248"/>
      <c r="B283" s="234"/>
      <c r="C283" s="235"/>
      <c r="D283" s="235"/>
      <c r="E283" s="235"/>
      <c r="F283" s="236"/>
      <c r="G283" s="239"/>
      <c r="H283" s="248"/>
      <c r="I283" s="234"/>
      <c r="J283" s="235"/>
      <c r="K283" s="235"/>
      <c r="L283" s="235"/>
      <c r="M283" s="236"/>
      <c r="N283" s="239"/>
      <c r="O283" s="514"/>
      <c r="P283" s="234" t="s">
        <v>234</v>
      </c>
      <c r="Q283" s="235"/>
      <c r="R283" s="235"/>
      <c r="S283" s="235"/>
      <c r="T283" s="236">
        <f t="shared" si="54"/>
        <v>0</v>
      </c>
      <c r="U283" s="239"/>
      <c r="V283" s="520"/>
      <c r="W283" s="234" t="s">
        <v>234</v>
      </c>
      <c r="X283" s="235"/>
      <c r="Y283" s="235"/>
      <c r="Z283" s="235"/>
      <c r="AA283" s="247">
        <f t="shared" si="49"/>
        <v>0</v>
      </c>
      <c r="AB283" s="250"/>
      <c r="AC283" s="520"/>
      <c r="AD283" s="234" t="s">
        <v>234</v>
      </c>
      <c r="AE283" s="235">
        <f t="shared" si="53"/>
        <v>0</v>
      </c>
      <c r="AF283" s="235">
        <f t="shared" ref="AF283:AF309" si="55">AE283*$Y$7/12</f>
        <v>0</v>
      </c>
      <c r="AG283" s="235">
        <f t="shared" si="52"/>
        <v>0</v>
      </c>
      <c r="AH283" s="247">
        <f t="shared" si="50"/>
        <v>0</v>
      </c>
      <c r="AI283" s="250"/>
      <c r="AK283" s="240"/>
    </row>
    <row r="284" spans="1:37" x14ac:dyDescent="0.2">
      <c r="A284" s="248"/>
      <c r="B284" s="234"/>
      <c r="C284" s="235"/>
      <c r="D284" s="235"/>
      <c r="E284" s="235"/>
      <c r="F284" s="236"/>
      <c r="G284" s="239"/>
      <c r="H284" s="248"/>
      <c r="I284" s="234"/>
      <c r="J284" s="235"/>
      <c r="K284" s="235"/>
      <c r="L284" s="235"/>
      <c r="M284" s="236"/>
      <c r="N284" s="239"/>
      <c r="O284" s="514"/>
      <c r="P284" s="234" t="s">
        <v>235</v>
      </c>
      <c r="Q284" s="235"/>
      <c r="R284" s="235"/>
      <c r="S284" s="235"/>
      <c r="T284" s="236">
        <f t="shared" si="54"/>
        <v>0</v>
      </c>
      <c r="U284" s="239"/>
      <c r="V284" s="520"/>
      <c r="W284" s="234" t="s">
        <v>235</v>
      </c>
      <c r="X284" s="235"/>
      <c r="Y284" s="235"/>
      <c r="Z284" s="235"/>
      <c r="AA284" s="247">
        <f t="shared" si="49"/>
        <v>0</v>
      </c>
      <c r="AB284" s="250"/>
      <c r="AC284" s="520"/>
      <c r="AD284" s="234" t="s">
        <v>235</v>
      </c>
      <c r="AE284" s="235">
        <f t="shared" si="53"/>
        <v>0</v>
      </c>
      <c r="AF284" s="235">
        <f t="shared" si="55"/>
        <v>0</v>
      </c>
      <c r="AG284" s="235">
        <f t="shared" si="52"/>
        <v>0</v>
      </c>
      <c r="AH284" s="247">
        <f t="shared" si="50"/>
        <v>0</v>
      </c>
      <c r="AI284" s="250"/>
      <c r="AK284" s="240"/>
    </row>
    <row r="285" spans="1:37" x14ac:dyDescent="0.2">
      <c r="A285" s="248"/>
      <c r="B285" s="234"/>
      <c r="C285" s="235"/>
      <c r="D285" s="235"/>
      <c r="E285" s="235"/>
      <c r="F285" s="236"/>
      <c r="G285" s="239"/>
      <c r="H285" s="248"/>
      <c r="I285" s="234"/>
      <c r="J285" s="235"/>
      <c r="K285" s="235"/>
      <c r="L285" s="235"/>
      <c r="M285" s="236"/>
      <c r="N285" s="239"/>
      <c r="O285" s="515"/>
      <c r="P285" s="234" t="s">
        <v>236</v>
      </c>
      <c r="Q285" s="235"/>
      <c r="R285" s="235"/>
      <c r="S285" s="235"/>
      <c r="T285" s="236">
        <f t="shared" si="54"/>
        <v>0</v>
      </c>
      <c r="U285" s="239"/>
      <c r="V285" s="521"/>
      <c r="W285" s="234" t="s">
        <v>236</v>
      </c>
      <c r="X285" s="235"/>
      <c r="Y285" s="235"/>
      <c r="Z285" s="235"/>
      <c r="AA285" s="247">
        <f t="shared" si="49"/>
        <v>0</v>
      </c>
      <c r="AB285" s="251">
        <f>SUM(Y274:Y285)</f>
        <v>0</v>
      </c>
      <c r="AC285" s="521"/>
      <c r="AD285" s="234" t="s">
        <v>236</v>
      </c>
      <c r="AE285" s="235">
        <f t="shared" si="53"/>
        <v>0</v>
      </c>
      <c r="AF285" s="235">
        <f t="shared" si="55"/>
        <v>0</v>
      </c>
      <c r="AG285" s="235">
        <f t="shared" si="52"/>
        <v>0</v>
      </c>
      <c r="AH285" s="247">
        <f t="shared" si="50"/>
        <v>0</v>
      </c>
      <c r="AI285" s="251">
        <f>SUM(AF274:AF285)</f>
        <v>0</v>
      </c>
      <c r="AJ285" s="208">
        <f>V274</f>
        <v>2043</v>
      </c>
      <c r="AK285" s="240">
        <f>G285+N285+U285+AB285+AI285</f>
        <v>0</v>
      </c>
    </row>
    <row r="286" spans="1:37" x14ac:dyDescent="0.2">
      <c r="A286" s="248"/>
      <c r="B286" s="234"/>
      <c r="C286" s="235"/>
      <c r="D286" s="235"/>
      <c r="E286" s="235"/>
      <c r="F286" s="236"/>
      <c r="G286" s="239"/>
      <c r="H286" s="248"/>
      <c r="I286" s="234"/>
      <c r="J286" s="235"/>
      <c r="K286" s="235"/>
      <c r="L286" s="235"/>
      <c r="M286" s="236"/>
      <c r="N286" s="239"/>
      <c r="O286" s="253"/>
      <c r="P286" s="234"/>
      <c r="Q286" s="235"/>
      <c r="R286" s="235"/>
      <c r="S286" s="235"/>
      <c r="T286" s="236"/>
      <c r="U286" s="239"/>
      <c r="V286" s="254"/>
      <c r="W286" s="234"/>
      <c r="X286" s="235"/>
      <c r="Y286" s="235"/>
      <c r="Z286" s="235"/>
      <c r="AA286" s="247"/>
      <c r="AB286" s="251"/>
      <c r="AC286" s="519">
        <v>2044</v>
      </c>
      <c r="AD286" s="234" t="s">
        <v>225</v>
      </c>
      <c r="AE286" s="235">
        <f t="shared" si="53"/>
        <v>0</v>
      </c>
      <c r="AF286" s="235">
        <f t="shared" si="55"/>
        <v>0</v>
      </c>
      <c r="AG286" s="235">
        <f t="shared" si="52"/>
        <v>0</v>
      </c>
      <c r="AH286" s="247">
        <f t="shared" si="50"/>
        <v>0</v>
      </c>
      <c r="AI286" s="251"/>
      <c r="AK286" s="240"/>
    </row>
    <row r="287" spans="1:37" x14ac:dyDescent="0.2">
      <c r="A287" s="248"/>
      <c r="B287" s="234"/>
      <c r="C287" s="235"/>
      <c r="D287" s="235"/>
      <c r="E287" s="235"/>
      <c r="F287" s="236"/>
      <c r="G287" s="239"/>
      <c r="H287" s="248"/>
      <c r="I287" s="234"/>
      <c r="J287" s="235"/>
      <c r="K287" s="235"/>
      <c r="L287" s="235"/>
      <c r="M287" s="236"/>
      <c r="N287" s="239"/>
      <c r="O287" s="253"/>
      <c r="P287" s="234"/>
      <c r="Q287" s="235"/>
      <c r="R287" s="235"/>
      <c r="S287" s="235"/>
      <c r="T287" s="236"/>
      <c r="U287" s="239"/>
      <c r="V287" s="254"/>
      <c r="W287" s="234"/>
      <c r="X287" s="235"/>
      <c r="Y287" s="235"/>
      <c r="Z287" s="235"/>
      <c r="AA287" s="247"/>
      <c r="AB287" s="251"/>
      <c r="AC287" s="520"/>
      <c r="AD287" s="234" t="s">
        <v>226</v>
      </c>
      <c r="AE287" s="235">
        <f t="shared" si="53"/>
        <v>0</v>
      </c>
      <c r="AF287" s="235">
        <f t="shared" si="55"/>
        <v>0</v>
      </c>
      <c r="AG287" s="235">
        <f t="shared" si="52"/>
        <v>0</v>
      </c>
      <c r="AH287" s="247">
        <f t="shared" si="50"/>
        <v>0</v>
      </c>
      <c r="AI287" s="251"/>
      <c r="AK287" s="240"/>
    </row>
    <row r="288" spans="1:37" x14ac:dyDescent="0.2">
      <c r="A288" s="248"/>
      <c r="B288" s="234"/>
      <c r="C288" s="235"/>
      <c r="D288" s="235"/>
      <c r="E288" s="235"/>
      <c r="F288" s="236"/>
      <c r="G288" s="239"/>
      <c r="H288" s="248"/>
      <c r="I288" s="234"/>
      <c r="J288" s="235"/>
      <c r="K288" s="235"/>
      <c r="L288" s="235"/>
      <c r="M288" s="236"/>
      <c r="N288" s="239"/>
      <c r="O288" s="253"/>
      <c r="P288" s="234"/>
      <c r="Q288" s="235"/>
      <c r="R288" s="235"/>
      <c r="S288" s="235"/>
      <c r="T288" s="236"/>
      <c r="U288" s="239"/>
      <c r="V288" s="254"/>
      <c r="W288" s="234"/>
      <c r="X288" s="235"/>
      <c r="Y288" s="235"/>
      <c r="Z288" s="235"/>
      <c r="AA288" s="247"/>
      <c r="AB288" s="251"/>
      <c r="AC288" s="520"/>
      <c r="AD288" s="234" t="s">
        <v>227</v>
      </c>
      <c r="AE288" s="235">
        <f t="shared" si="53"/>
        <v>0</v>
      </c>
      <c r="AF288" s="235">
        <f t="shared" si="55"/>
        <v>0</v>
      </c>
      <c r="AG288" s="235">
        <f t="shared" si="52"/>
        <v>0</v>
      </c>
      <c r="AH288" s="247">
        <f t="shared" si="50"/>
        <v>0</v>
      </c>
      <c r="AI288" s="251"/>
      <c r="AK288" s="240"/>
    </row>
    <row r="289" spans="1:37" x14ac:dyDescent="0.2">
      <c r="A289" s="248"/>
      <c r="B289" s="234"/>
      <c r="C289" s="235"/>
      <c r="D289" s="235"/>
      <c r="E289" s="235"/>
      <c r="F289" s="236"/>
      <c r="G289" s="239"/>
      <c r="H289" s="248"/>
      <c r="I289" s="234"/>
      <c r="J289" s="235"/>
      <c r="K289" s="235"/>
      <c r="L289" s="235"/>
      <c r="M289" s="236"/>
      <c r="N289" s="239"/>
      <c r="O289" s="253"/>
      <c r="P289" s="234"/>
      <c r="Q289" s="235"/>
      <c r="R289" s="235"/>
      <c r="S289" s="235"/>
      <c r="T289" s="236"/>
      <c r="U289" s="239"/>
      <c r="V289" s="254"/>
      <c r="W289" s="234"/>
      <c r="X289" s="235"/>
      <c r="Y289" s="235"/>
      <c r="Z289" s="235"/>
      <c r="AA289" s="247"/>
      <c r="AB289" s="251"/>
      <c r="AC289" s="520"/>
      <c r="AD289" s="234" t="s">
        <v>228</v>
      </c>
      <c r="AE289" s="235">
        <f t="shared" si="53"/>
        <v>0</v>
      </c>
      <c r="AF289" s="235">
        <f t="shared" si="55"/>
        <v>0</v>
      </c>
      <c r="AG289" s="235">
        <f t="shared" si="52"/>
        <v>0</v>
      </c>
      <c r="AH289" s="247">
        <f t="shared" si="50"/>
        <v>0</v>
      </c>
      <c r="AI289" s="251"/>
      <c r="AK289" s="240"/>
    </row>
    <row r="290" spans="1:37" x14ac:dyDescent="0.2">
      <c r="A290" s="248"/>
      <c r="B290" s="234"/>
      <c r="C290" s="235"/>
      <c r="D290" s="235"/>
      <c r="E290" s="235"/>
      <c r="F290" s="236"/>
      <c r="G290" s="239"/>
      <c r="H290" s="248"/>
      <c r="I290" s="234"/>
      <c r="J290" s="235"/>
      <c r="K290" s="235"/>
      <c r="L290" s="235"/>
      <c r="M290" s="236"/>
      <c r="N290" s="239"/>
      <c r="O290" s="253"/>
      <c r="P290" s="234"/>
      <c r="Q290" s="235"/>
      <c r="R290" s="235"/>
      <c r="S290" s="235"/>
      <c r="T290" s="236"/>
      <c r="U290" s="239"/>
      <c r="V290" s="254"/>
      <c r="W290" s="234"/>
      <c r="X290" s="235"/>
      <c r="Y290" s="235"/>
      <c r="Z290" s="235"/>
      <c r="AA290" s="247"/>
      <c r="AB290" s="251"/>
      <c r="AC290" s="520"/>
      <c r="AD290" s="234" t="s">
        <v>229</v>
      </c>
      <c r="AE290" s="235">
        <f t="shared" si="53"/>
        <v>0</v>
      </c>
      <c r="AF290" s="235">
        <f t="shared" si="55"/>
        <v>0</v>
      </c>
      <c r="AG290" s="235">
        <f t="shared" si="52"/>
        <v>0</v>
      </c>
      <c r="AH290" s="247">
        <f t="shared" si="50"/>
        <v>0</v>
      </c>
      <c r="AI290" s="251"/>
      <c r="AK290" s="240"/>
    </row>
    <row r="291" spans="1:37" x14ac:dyDescent="0.2">
      <c r="A291" s="248"/>
      <c r="B291" s="234"/>
      <c r="C291" s="235"/>
      <c r="D291" s="235"/>
      <c r="E291" s="235"/>
      <c r="F291" s="236"/>
      <c r="G291" s="239"/>
      <c r="H291" s="248"/>
      <c r="I291" s="234"/>
      <c r="J291" s="235"/>
      <c r="K291" s="235"/>
      <c r="L291" s="235"/>
      <c r="M291" s="236"/>
      <c r="N291" s="239"/>
      <c r="O291" s="253"/>
      <c r="P291" s="234"/>
      <c r="Q291" s="235"/>
      <c r="R291" s="235"/>
      <c r="S291" s="235"/>
      <c r="T291" s="236"/>
      <c r="U291" s="239"/>
      <c r="V291" s="254"/>
      <c r="W291" s="234"/>
      <c r="X291" s="235"/>
      <c r="Y291" s="235"/>
      <c r="Z291" s="235"/>
      <c r="AA291" s="247"/>
      <c r="AB291" s="251"/>
      <c r="AC291" s="520"/>
      <c r="AD291" s="234" t="s">
        <v>230</v>
      </c>
      <c r="AE291" s="235">
        <f t="shared" si="53"/>
        <v>0</v>
      </c>
      <c r="AF291" s="235">
        <f t="shared" si="55"/>
        <v>0</v>
      </c>
      <c r="AG291" s="235">
        <f t="shared" si="52"/>
        <v>0</v>
      </c>
      <c r="AH291" s="247">
        <f t="shared" si="50"/>
        <v>0</v>
      </c>
      <c r="AI291" s="251"/>
      <c r="AK291" s="240"/>
    </row>
    <row r="292" spans="1:37" x14ac:dyDescent="0.2">
      <c r="A292" s="248"/>
      <c r="B292" s="234"/>
      <c r="C292" s="235"/>
      <c r="D292" s="235"/>
      <c r="E292" s="235"/>
      <c r="F292" s="236"/>
      <c r="G292" s="239"/>
      <c r="H292" s="248"/>
      <c r="I292" s="234"/>
      <c r="J292" s="235"/>
      <c r="K292" s="235"/>
      <c r="L292" s="235"/>
      <c r="M292" s="236"/>
      <c r="N292" s="239"/>
      <c r="O292" s="253"/>
      <c r="P292" s="234"/>
      <c r="Q292" s="235"/>
      <c r="R292" s="235"/>
      <c r="S292" s="235"/>
      <c r="T292" s="236"/>
      <c r="U292" s="239"/>
      <c r="V292" s="254"/>
      <c r="W292" s="234"/>
      <c r="X292" s="235"/>
      <c r="Y292" s="235"/>
      <c r="Z292" s="235"/>
      <c r="AA292" s="247"/>
      <c r="AB292" s="251"/>
      <c r="AC292" s="520"/>
      <c r="AD292" s="234" t="s">
        <v>231</v>
      </c>
      <c r="AE292" s="235">
        <f t="shared" si="53"/>
        <v>0</v>
      </c>
      <c r="AF292" s="235">
        <f t="shared" si="55"/>
        <v>0</v>
      </c>
      <c r="AG292" s="235">
        <f t="shared" si="52"/>
        <v>0</v>
      </c>
      <c r="AH292" s="247">
        <f t="shared" ref="AH292:AH325" si="56">AF292+AG292</f>
        <v>0</v>
      </c>
      <c r="AI292" s="251"/>
      <c r="AK292" s="240"/>
    </row>
    <row r="293" spans="1:37" x14ac:dyDescent="0.2">
      <c r="A293" s="248"/>
      <c r="B293" s="234"/>
      <c r="C293" s="235"/>
      <c r="D293" s="235"/>
      <c r="E293" s="235"/>
      <c r="F293" s="236"/>
      <c r="G293" s="239"/>
      <c r="H293" s="248"/>
      <c r="I293" s="234"/>
      <c r="J293" s="235"/>
      <c r="K293" s="235"/>
      <c r="L293" s="235"/>
      <c r="M293" s="236"/>
      <c r="N293" s="239"/>
      <c r="O293" s="253"/>
      <c r="P293" s="234"/>
      <c r="Q293" s="235"/>
      <c r="R293" s="235"/>
      <c r="S293" s="235"/>
      <c r="T293" s="236"/>
      <c r="U293" s="239"/>
      <c r="V293" s="254"/>
      <c r="W293" s="234"/>
      <c r="X293" s="235"/>
      <c r="Y293" s="235"/>
      <c r="Z293" s="235"/>
      <c r="AA293" s="247"/>
      <c r="AB293" s="251"/>
      <c r="AC293" s="520"/>
      <c r="AD293" s="234" t="s">
        <v>232</v>
      </c>
      <c r="AE293" s="235">
        <f t="shared" si="53"/>
        <v>0</v>
      </c>
      <c r="AF293" s="235">
        <f t="shared" si="55"/>
        <v>0</v>
      </c>
      <c r="AG293" s="235">
        <f t="shared" si="52"/>
        <v>0</v>
      </c>
      <c r="AH293" s="247">
        <f t="shared" si="56"/>
        <v>0</v>
      </c>
      <c r="AI293" s="251"/>
      <c r="AK293" s="240"/>
    </row>
    <row r="294" spans="1:37" x14ac:dyDescent="0.2">
      <c r="A294" s="248"/>
      <c r="B294" s="234"/>
      <c r="C294" s="235"/>
      <c r="D294" s="235"/>
      <c r="E294" s="235"/>
      <c r="F294" s="236"/>
      <c r="G294" s="239"/>
      <c r="H294" s="248"/>
      <c r="I294" s="234"/>
      <c r="J294" s="235"/>
      <c r="K294" s="235"/>
      <c r="L294" s="235"/>
      <c r="M294" s="236"/>
      <c r="N294" s="239"/>
      <c r="O294" s="253"/>
      <c r="P294" s="234"/>
      <c r="Q294" s="235"/>
      <c r="R294" s="235"/>
      <c r="S294" s="235"/>
      <c r="T294" s="236"/>
      <c r="U294" s="239"/>
      <c r="V294" s="254"/>
      <c r="W294" s="234"/>
      <c r="X294" s="235"/>
      <c r="Y294" s="235"/>
      <c r="Z294" s="235"/>
      <c r="AA294" s="247"/>
      <c r="AB294" s="251"/>
      <c r="AC294" s="520"/>
      <c r="AD294" s="234" t="s">
        <v>233</v>
      </c>
      <c r="AE294" s="235">
        <f t="shared" si="53"/>
        <v>0</v>
      </c>
      <c r="AF294" s="235">
        <f t="shared" si="55"/>
        <v>0</v>
      </c>
      <c r="AG294" s="235">
        <f t="shared" si="52"/>
        <v>0</v>
      </c>
      <c r="AH294" s="247">
        <f t="shared" si="56"/>
        <v>0</v>
      </c>
      <c r="AI294" s="251"/>
      <c r="AK294" s="240"/>
    </row>
    <row r="295" spans="1:37" x14ac:dyDescent="0.2">
      <c r="A295" s="248"/>
      <c r="B295" s="234"/>
      <c r="C295" s="235"/>
      <c r="D295" s="235"/>
      <c r="E295" s="235"/>
      <c r="F295" s="236"/>
      <c r="G295" s="239"/>
      <c r="H295" s="248"/>
      <c r="I295" s="234"/>
      <c r="J295" s="235"/>
      <c r="K295" s="235"/>
      <c r="L295" s="235"/>
      <c r="M295" s="236"/>
      <c r="N295" s="239"/>
      <c r="O295" s="253"/>
      <c r="P295" s="234"/>
      <c r="Q295" s="235"/>
      <c r="R295" s="235"/>
      <c r="S295" s="235"/>
      <c r="T295" s="236"/>
      <c r="U295" s="239"/>
      <c r="V295" s="254"/>
      <c r="W295" s="234"/>
      <c r="X295" s="235"/>
      <c r="Y295" s="235"/>
      <c r="Z295" s="235"/>
      <c r="AA295" s="247"/>
      <c r="AB295" s="251"/>
      <c r="AC295" s="520"/>
      <c r="AD295" s="234" t="s">
        <v>234</v>
      </c>
      <c r="AE295" s="235">
        <f t="shared" si="53"/>
        <v>0</v>
      </c>
      <c r="AF295" s="235">
        <f t="shared" si="55"/>
        <v>0</v>
      </c>
      <c r="AG295" s="235">
        <f t="shared" si="52"/>
        <v>0</v>
      </c>
      <c r="AH295" s="247">
        <f t="shared" si="56"/>
        <v>0</v>
      </c>
      <c r="AI295" s="251"/>
      <c r="AK295" s="240"/>
    </row>
    <row r="296" spans="1:37" x14ac:dyDescent="0.2">
      <c r="A296" s="248"/>
      <c r="B296" s="234"/>
      <c r="C296" s="235"/>
      <c r="D296" s="235"/>
      <c r="E296" s="235"/>
      <c r="F296" s="236"/>
      <c r="G296" s="239"/>
      <c r="H296" s="248"/>
      <c r="I296" s="234"/>
      <c r="J296" s="235"/>
      <c r="K296" s="235"/>
      <c r="L296" s="235"/>
      <c r="M296" s="236"/>
      <c r="N296" s="239"/>
      <c r="O296" s="253"/>
      <c r="P296" s="234"/>
      <c r="Q296" s="235"/>
      <c r="R296" s="235"/>
      <c r="S296" s="235"/>
      <c r="T296" s="236"/>
      <c r="U296" s="239"/>
      <c r="V296" s="254"/>
      <c r="W296" s="234"/>
      <c r="X296" s="235"/>
      <c r="Y296" s="235"/>
      <c r="Z296" s="235"/>
      <c r="AA296" s="247"/>
      <c r="AB296" s="251"/>
      <c r="AC296" s="520"/>
      <c r="AD296" s="234" t="s">
        <v>235</v>
      </c>
      <c r="AE296" s="235">
        <f t="shared" si="53"/>
        <v>0</v>
      </c>
      <c r="AF296" s="235">
        <f t="shared" si="55"/>
        <v>0</v>
      </c>
      <c r="AG296" s="235">
        <f t="shared" si="52"/>
        <v>0</v>
      </c>
      <c r="AH296" s="247">
        <f t="shared" si="56"/>
        <v>0</v>
      </c>
      <c r="AI296" s="251"/>
      <c r="AK296" s="240"/>
    </row>
    <row r="297" spans="1:37" x14ac:dyDescent="0.2">
      <c r="A297" s="248"/>
      <c r="B297" s="234"/>
      <c r="C297" s="235"/>
      <c r="D297" s="235"/>
      <c r="E297" s="235"/>
      <c r="F297" s="236"/>
      <c r="G297" s="239"/>
      <c r="H297" s="248"/>
      <c r="I297" s="234"/>
      <c r="J297" s="235"/>
      <c r="K297" s="235"/>
      <c r="L297" s="235"/>
      <c r="M297" s="236"/>
      <c r="N297" s="239"/>
      <c r="O297" s="253"/>
      <c r="P297" s="234"/>
      <c r="Q297" s="235"/>
      <c r="R297" s="235"/>
      <c r="S297" s="235"/>
      <c r="T297" s="236"/>
      <c r="U297" s="239"/>
      <c r="V297" s="254"/>
      <c r="W297" s="234"/>
      <c r="X297" s="235"/>
      <c r="Y297" s="235"/>
      <c r="Z297" s="235"/>
      <c r="AA297" s="247"/>
      <c r="AB297" s="251"/>
      <c r="AC297" s="521"/>
      <c r="AD297" s="234" t="s">
        <v>236</v>
      </c>
      <c r="AE297" s="235">
        <f t="shared" si="53"/>
        <v>0</v>
      </c>
      <c r="AF297" s="235">
        <f t="shared" si="55"/>
        <v>0</v>
      </c>
      <c r="AG297" s="235">
        <f t="shared" si="52"/>
        <v>0</v>
      </c>
      <c r="AH297" s="247">
        <f t="shared" si="56"/>
        <v>0</v>
      </c>
      <c r="AI297" s="251">
        <f>SUM(AF286:AF297)</f>
        <v>0</v>
      </c>
      <c r="AJ297" s="208">
        <f>AC286</f>
        <v>2044</v>
      </c>
      <c r="AK297" s="240">
        <f>G297+N297+U297+AB297+AI297</f>
        <v>0</v>
      </c>
    </row>
    <row r="298" spans="1:37" x14ac:dyDescent="0.2">
      <c r="A298" s="248"/>
      <c r="B298" s="234"/>
      <c r="C298" s="235"/>
      <c r="D298" s="235"/>
      <c r="E298" s="235"/>
      <c r="F298" s="236"/>
      <c r="G298" s="239"/>
      <c r="H298" s="248"/>
      <c r="I298" s="234"/>
      <c r="J298" s="235"/>
      <c r="K298" s="235"/>
      <c r="L298" s="235"/>
      <c r="M298" s="236"/>
      <c r="N298" s="239"/>
      <c r="O298" s="253"/>
      <c r="P298" s="234"/>
      <c r="Q298" s="235"/>
      <c r="R298" s="235"/>
      <c r="S298" s="235"/>
      <c r="T298" s="236"/>
      <c r="U298" s="239"/>
      <c r="V298" s="254"/>
      <c r="W298" s="234"/>
      <c r="X298" s="235"/>
      <c r="Y298" s="235"/>
      <c r="Z298" s="235"/>
      <c r="AA298" s="247"/>
      <c r="AB298" s="251"/>
      <c r="AC298" s="519">
        <v>2045</v>
      </c>
      <c r="AD298" s="234" t="s">
        <v>225</v>
      </c>
      <c r="AE298" s="235">
        <f t="shared" si="53"/>
        <v>0</v>
      </c>
      <c r="AF298" s="235">
        <f t="shared" si="55"/>
        <v>0</v>
      </c>
      <c r="AG298" s="235">
        <f t="shared" si="52"/>
        <v>0</v>
      </c>
      <c r="AH298" s="247">
        <f t="shared" si="56"/>
        <v>0</v>
      </c>
      <c r="AI298" s="251"/>
      <c r="AK298" s="240"/>
    </row>
    <row r="299" spans="1:37" x14ac:dyDescent="0.2">
      <c r="A299" s="248"/>
      <c r="B299" s="234"/>
      <c r="C299" s="235"/>
      <c r="D299" s="235"/>
      <c r="E299" s="235"/>
      <c r="F299" s="236"/>
      <c r="G299" s="239"/>
      <c r="H299" s="248"/>
      <c r="I299" s="234"/>
      <c r="J299" s="235"/>
      <c r="K299" s="235"/>
      <c r="L299" s="235"/>
      <c r="M299" s="236"/>
      <c r="N299" s="239"/>
      <c r="O299" s="253"/>
      <c r="P299" s="234"/>
      <c r="Q299" s="235"/>
      <c r="R299" s="235"/>
      <c r="S299" s="235"/>
      <c r="T299" s="236"/>
      <c r="U299" s="239"/>
      <c r="V299" s="254"/>
      <c r="W299" s="234"/>
      <c r="X299" s="235"/>
      <c r="Y299" s="235"/>
      <c r="Z299" s="235"/>
      <c r="AA299" s="247"/>
      <c r="AB299" s="251"/>
      <c r="AC299" s="520"/>
      <c r="AD299" s="234" t="s">
        <v>226</v>
      </c>
      <c r="AE299" s="235">
        <f t="shared" si="53"/>
        <v>0</v>
      </c>
      <c r="AF299" s="235">
        <f t="shared" si="55"/>
        <v>0</v>
      </c>
      <c r="AG299" s="235">
        <f t="shared" si="52"/>
        <v>0</v>
      </c>
      <c r="AH299" s="247">
        <f t="shared" si="56"/>
        <v>0</v>
      </c>
      <c r="AI299" s="251"/>
      <c r="AK299" s="240"/>
    </row>
    <row r="300" spans="1:37" x14ac:dyDescent="0.2">
      <c r="A300" s="248"/>
      <c r="B300" s="234"/>
      <c r="C300" s="235"/>
      <c r="D300" s="235"/>
      <c r="E300" s="235"/>
      <c r="F300" s="236"/>
      <c r="G300" s="239"/>
      <c r="H300" s="248"/>
      <c r="I300" s="234"/>
      <c r="J300" s="235"/>
      <c r="K300" s="235"/>
      <c r="L300" s="235"/>
      <c r="M300" s="236"/>
      <c r="N300" s="239"/>
      <c r="O300" s="253"/>
      <c r="P300" s="234"/>
      <c r="Q300" s="235"/>
      <c r="R300" s="235"/>
      <c r="S300" s="235"/>
      <c r="T300" s="236"/>
      <c r="U300" s="239"/>
      <c r="V300" s="254"/>
      <c r="W300" s="234"/>
      <c r="X300" s="235"/>
      <c r="Y300" s="235"/>
      <c r="Z300" s="235"/>
      <c r="AA300" s="247"/>
      <c r="AB300" s="251"/>
      <c r="AC300" s="520"/>
      <c r="AD300" s="234" t="s">
        <v>227</v>
      </c>
      <c r="AE300" s="235">
        <f t="shared" si="53"/>
        <v>0</v>
      </c>
      <c r="AF300" s="235">
        <f t="shared" si="55"/>
        <v>0</v>
      </c>
      <c r="AG300" s="235">
        <f t="shared" si="52"/>
        <v>0</v>
      </c>
      <c r="AH300" s="247">
        <f t="shared" si="56"/>
        <v>0</v>
      </c>
      <c r="AI300" s="251"/>
      <c r="AK300" s="240"/>
    </row>
    <row r="301" spans="1:37" x14ac:dyDescent="0.2">
      <c r="A301" s="248"/>
      <c r="B301" s="234"/>
      <c r="C301" s="235"/>
      <c r="D301" s="235"/>
      <c r="E301" s="235"/>
      <c r="F301" s="236"/>
      <c r="G301" s="239"/>
      <c r="H301" s="248"/>
      <c r="I301" s="234"/>
      <c r="J301" s="235"/>
      <c r="K301" s="235"/>
      <c r="L301" s="235"/>
      <c r="M301" s="236"/>
      <c r="N301" s="239"/>
      <c r="O301" s="253"/>
      <c r="P301" s="234"/>
      <c r="Q301" s="235"/>
      <c r="R301" s="235"/>
      <c r="S301" s="235"/>
      <c r="T301" s="236"/>
      <c r="U301" s="239"/>
      <c r="V301" s="254"/>
      <c r="W301" s="234"/>
      <c r="X301" s="235"/>
      <c r="Y301" s="235"/>
      <c r="Z301" s="235"/>
      <c r="AA301" s="247"/>
      <c r="AB301" s="251"/>
      <c r="AC301" s="520"/>
      <c r="AD301" s="234" t="s">
        <v>228</v>
      </c>
      <c r="AE301" s="235">
        <f t="shared" si="53"/>
        <v>0</v>
      </c>
      <c r="AF301" s="235">
        <f t="shared" si="55"/>
        <v>0</v>
      </c>
      <c r="AG301" s="235">
        <f t="shared" si="52"/>
        <v>0</v>
      </c>
      <c r="AH301" s="247">
        <f t="shared" si="56"/>
        <v>0</v>
      </c>
      <c r="AI301" s="251"/>
      <c r="AK301" s="240"/>
    </row>
    <row r="302" spans="1:37" x14ac:dyDescent="0.2">
      <c r="A302" s="248"/>
      <c r="B302" s="234"/>
      <c r="C302" s="235"/>
      <c r="D302" s="235"/>
      <c r="E302" s="235"/>
      <c r="F302" s="236"/>
      <c r="G302" s="239"/>
      <c r="H302" s="248"/>
      <c r="I302" s="234"/>
      <c r="J302" s="235"/>
      <c r="K302" s="235"/>
      <c r="L302" s="235"/>
      <c r="M302" s="236"/>
      <c r="N302" s="239"/>
      <c r="O302" s="253"/>
      <c r="P302" s="234"/>
      <c r="Q302" s="235"/>
      <c r="R302" s="235"/>
      <c r="S302" s="235"/>
      <c r="T302" s="236"/>
      <c r="U302" s="239"/>
      <c r="V302" s="254"/>
      <c r="W302" s="234"/>
      <c r="X302" s="235"/>
      <c r="Y302" s="235"/>
      <c r="Z302" s="235"/>
      <c r="AA302" s="247"/>
      <c r="AB302" s="251"/>
      <c r="AC302" s="520"/>
      <c r="AD302" s="234" t="s">
        <v>229</v>
      </c>
      <c r="AE302" s="235">
        <f t="shared" si="53"/>
        <v>0</v>
      </c>
      <c r="AF302" s="235">
        <f t="shared" si="55"/>
        <v>0</v>
      </c>
      <c r="AG302" s="235">
        <f t="shared" si="52"/>
        <v>0</v>
      </c>
      <c r="AH302" s="247">
        <f t="shared" si="56"/>
        <v>0</v>
      </c>
      <c r="AI302" s="251"/>
      <c r="AK302" s="240"/>
    </row>
    <row r="303" spans="1:37" x14ac:dyDescent="0.2">
      <c r="A303" s="248"/>
      <c r="B303" s="234"/>
      <c r="C303" s="235"/>
      <c r="D303" s="235"/>
      <c r="E303" s="235"/>
      <c r="F303" s="236"/>
      <c r="G303" s="239"/>
      <c r="H303" s="248"/>
      <c r="I303" s="234"/>
      <c r="J303" s="235"/>
      <c r="K303" s="235"/>
      <c r="L303" s="235"/>
      <c r="M303" s="236"/>
      <c r="N303" s="239"/>
      <c r="O303" s="253"/>
      <c r="P303" s="234"/>
      <c r="Q303" s="235"/>
      <c r="R303" s="235"/>
      <c r="S303" s="235"/>
      <c r="T303" s="236"/>
      <c r="U303" s="239"/>
      <c r="V303" s="254"/>
      <c r="W303" s="234"/>
      <c r="X303" s="235"/>
      <c r="Y303" s="235"/>
      <c r="Z303" s="235"/>
      <c r="AA303" s="247"/>
      <c r="AB303" s="251"/>
      <c r="AC303" s="520"/>
      <c r="AD303" s="234" t="s">
        <v>230</v>
      </c>
      <c r="AE303" s="235">
        <f t="shared" si="53"/>
        <v>0</v>
      </c>
      <c r="AF303" s="235">
        <f t="shared" si="55"/>
        <v>0</v>
      </c>
      <c r="AG303" s="235">
        <f t="shared" si="52"/>
        <v>0</v>
      </c>
      <c r="AH303" s="247">
        <f t="shared" si="56"/>
        <v>0</v>
      </c>
      <c r="AI303" s="251"/>
      <c r="AK303" s="240"/>
    </row>
    <row r="304" spans="1:37" x14ac:dyDescent="0.2">
      <c r="A304" s="248"/>
      <c r="B304" s="234"/>
      <c r="C304" s="235"/>
      <c r="D304" s="235"/>
      <c r="E304" s="235"/>
      <c r="F304" s="236"/>
      <c r="G304" s="239"/>
      <c r="H304" s="248"/>
      <c r="I304" s="234"/>
      <c r="J304" s="235"/>
      <c r="K304" s="235"/>
      <c r="L304" s="235"/>
      <c r="M304" s="236"/>
      <c r="N304" s="239"/>
      <c r="O304" s="253"/>
      <c r="P304" s="234"/>
      <c r="Q304" s="235"/>
      <c r="R304" s="235"/>
      <c r="S304" s="235"/>
      <c r="T304" s="236"/>
      <c r="U304" s="239"/>
      <c r="V304" s="254"/>
      <c r="W304" s="234"/>
      <c r="X304" s="235"/>
      <c r="Y304" s="235"/>
      <c r="Z304" s="235"/>
      <c r="AA304" s="247"/>
      <c r="AB304" s="251"/>
      <c r="AC304" s="520"/>
      <c r="AD304" s="234" t="s">
        <v>231</v>
      </c>
      <c r="AE304" s="235">
        <f t="shared" si="53"/>
        <v>0</v>
      </c>
      <c r="AF304" s="235">
        <f t="shared" si="55"/>
        <v>0</v>
      </c>
      <c r="AG304" s="235">
        <f t="shared" si="52"/>
        <v>0</v>
      </c>
      <c r="AH304" s="247">
        <f t="shared" si="56"/>
        <v>0</v>
      </c>
      <c r="AI304" s="251"/>
      <c r="AK304" s="240"/>
    </row>
    <row r="305" spans="1:37" x14ac:dyDescent="0.2">
      <c r="A305" s="248"/>
      <c r="B305" s="234"/>
      <c r="C305" s="235"/>
      <c r="D305" s="235"/>
      <c r="E305" s="235"/>
      <c r="F305" s="236"/>
      <c r="G305" s="239"/>
      <c r="H305" s="248"/>
      <c r="I305" s="234"/>
      <c r="J305" s="235"/>
      <c r="K305" s="235"/>
      <c r="L305" s="235"/>
      <c r="M305" s="236"/>
      <c r="N305" s="239"/>
      <c r="O305" s="253"/>
      <c r="P305" s="234"/>
      <c r="Q305" s="235"/>
      <c r="R305" s="235"/>
      <c r="S305" s="235"/>
      <c r="T305" s="236"/>
      <c r="U305" s="239"/>
      <c r="V305" s="254"/>
      <c r="W305" s="234"/>
      <c r="X305" s="235"/>
      <c r="Y305" s="235"/>
      <c r="Z305" s="235"/>
      <c r="AA305" s="247"/>
      <c r="AB305" s="251"/>
      <c r="AC305" s="520"/>
      <c r="AD305" s="234" t="s">
        <v>232</v>
      </c>
      <c r="AE305" s="235">
        <f t="shared" si="53"/>
        <v>0</v>
      </c>
      <c r="AF305" s="235">
        <f t="shared" si="55"/>
        <v>0</v>
      </c>
      <c r="AG305" s="235">
        <f t="shared" si="52"/>
        <v>0</v>
      </c>
      <c r="AH305" s="247">
        <f t="shared" si="56"/>
        <v>0</v>
      </c>
      <c r="AI305" s="251"/>
      <c r="AK305" s="240"/>
    </row>
    <row r="306" spans="1:37" x14ac:dyDescent="0.2">
      <c r="A306" s="248"/>
      <c r="B306" s="234"/>
      <c r="C306" s="235"/>
      <c r="D306" s="235"/>
      <c r="E306" s="235"/>
      <c r="F306" s="236"/>
      <c r="G306" s="239"/>
      <c r="H306" s="248"/>
      <c r="I306" s="234"/>
      <c r="J306" s="235"/>
      <c r="K306" s="235"/>
      <c r="L306" s="235"/>
      <c r="M306" s="236"/>
      <c r="N306" s="239"/>
      <c r="O306" s="253"/>
      <c r="P306" s="234"/>
      <c r="Q306" s="235"/>
      <c r="R306" s="235"/>
      <c r="S306" s="235"/>
      <c r="T306" s="236"/>
      <c r="U306" s="239"/>
      <c r="V306" s="254"/>
      <c r="W306" s="234"/>
      <c r="X306" s="235"/>
      <c r="Y306" s="235"/>
      <c r="Z306" s="235"/>
      <c r="AA306" s="247"/>
      <c r="AB306" s="251"/>
      <c r="AC306" s="520"/>
      <c r="AD306" s="234" t="s">
        <v>233</v>
      </c>
      <c r="AE306" s="235">
        <f t="shared" si="53"/>
        <v>0</v>
      </c>
      <c r="AF306" s="235">
        <f t="shared" si="55"/>
        <v>0</v>
      </c>
      <c r="AG306" s="235">
        <f t="shared" si="52"/>
        <v>0</v>
      </c>
      <c r="AH306" s="247">
        <f t="shared" si="56"/>
        <v>0</v>
      </c>
      <c r="AI306" s="251"/>
      <c r="AK306" s="240"/>
    </row>
    <row r="307" spans="1:37" x14ac:dyDescent="0.2">
      <c r="A307" s="248"/>
      <c r="B307" s="234"/>
      <c r="C307" s="235"/>
      <c r="D307" s="235"/>
      <c r="E307" s="235"/>
      <c r="F307" s="236"/>
      <c r="G307" s="239"/>
      <c r="H307" s="248"/>
      <c r="I307" s="234"/>
      <c r="J307" s="235"/>
      <c r="K307" s="235"/>
      <c r="L307" s="235"/>
      <c r="M307" s="236"/>
      <c r="N307" s="239"/>
      <c r="O307" s="253"/>
      <c r="P307" s="234"/>
      <c r="Q307" s="235"/>
      <c r="R307" s="235"/>
      <c r="S307" s="235"/>
      <c r="T307" s="236"/>
      <c r="U307" s="239"/>
      <c r="V307" s="254"/>
      <c r="W307" s="234"/>
      <c r="X307" s="235"/>
      <c r="Y307" s="235"/>
      <c r="Z307" s="235"/>
      <c r="AA307" s="247"/>
      <c r="AB307" s="251"/>
      <c r="AC307" s="520"/>
      <c r="AD307" s="234" t="s">
        <v>234</v>
      </c>
      <c r="AE307" s="235">
        <f t="shared" si="53"/>
        <v>0</v>
      </c>
      <c r="AF307" s="235">
        <f t="shared" si="55"/>
        <v>0</v>
      </c>
      <c r="AG307" s="235">
        <f t="shared" si="52"/>
        <v>0</v>
      </c>
      <c r="AH307" s="247">
        <f t="shared" si="56"/>
        <v>0</v>
      </c>
      <c r="AI307" s="251"/>
      <c r="AK307" s="240"/>
    </row>
    <row r="308" spans="1:37" x14ac:dyDescent="0.2">
      <c r="A308" s="248"/>
      <c r="B308" s="234"/>
      <c r="C308" s="235"/>
      <c r="D308" s="235"/>
      <c r="E308" s="235"/>
      <c r="F308" s="236"/>
      <c r="G308" s="239"/>
      <c r="H308" s="248"/>
      <c r="I308" s="234"/>
      <c r="J308" s="235"/>
      <c r="K308" s="235"/>
      <c r="L308" s="235"/>
      <c r="M308" s="236"/>
      <c r="N308" s="239"/>
      <c r="O308" s="253"/>
      <c r="P308" s="234"/>
      <c r="Q308" s="235"/>
      <c r="R308" s="235"/>
      <c r="S308" s="235"/>
      <c r="T308" s="236"/>
      <c r="U308" s="239"/>
      <c r="V308" s="254"/>
      <c r="W308" s="234"/>
      <c r="X308" s="235"/>
      <c r="Y308" s="235"/>
      <c r="Z308" s="235"/>
      <c r="AA308" s="247"/>
      <c r="AB308" s="251"/>
      <c r="AC308" s="520"/>
      <c r="AD308" s="234" t="s">
        <v>235</v>
      </c>
      <c r="AE308" s="235">
        <f t="shared" si="53"/>
        <v>0</v>
      </c>
      <c r="AF308" s="235">
        <f t="shared" si="55"/>
        <v>0</v>
      </c>
      <c r="AG308" s="235">
        <f t="shared" si="52"/>
        <v>0</v>
      </c>
      <c r="AH308" s="247">
        <f t="shared" si="56"/>
        <v>0</v>
      </c>
      <c r="AI308" s="251"/>
      <c r="AK308" s="240"/>
    </row>
    <row r="309" spans="1:37" x14ac:dyDescent="0.2">
      <c r="A309" s="248"/>
      <c r="B309" s="234"/>
      <c r="C309" s="235"/>
      <c r="D309" s="235"/>
      <c r="E309" s="235"/>
      <c r="F309" s="236"/>
      <c r="G309" s="239"/>
      <c r="H309" s="248"/>
      <c r="I309" s="234"/>
      <c r="J309" s="235"/>
      <c r="K309" s="235"/>
      <c r="L309" s="235"/>
      <c r="M309" s="236"/>
      <c r="N309" s="239"/>
      <c r="O309" s="253"/>
      <c r="P309" s="234"/>
      <c r="Q309" s="235"/>
      <c r="R309" s="235"/>
      <c r="S309" s="235"/>
      <c r="T309" s="236"/>
      <c r="U309" s="239"/>
      <c r="V309" s="254"/>
      <c r="W309" s="234"/>
      <c r="X309" s="235"/>
      <c r="Y309" s="235"/>
      <c r="Z309" s="235"/>
      <c r="AA309" s="247"/>
      <c r="AB309" s="251"/>
      <c r="AC309" s="521"/>
      <c r="AD309" s="234" t="s">
        <v>236</v>
      </c>
      <c r="AE309" s="235">
        <f t="shared" si="53"/>
        <v>0</v>
      </c>
      <c r="AF309" s="235">
        <f t="shared" si="55"/>
        <v>0</v>
      </c>
      <c r="AG309" s="235">
        <f t="shared" si="52"/>
        <v>0</v>
      </c>
      <c r="AH309" s="247">
        <f t="shared" si="56"/>
        <v>0</v>
      </c>
      <c r="AI309" s="251">
        <f>SUM(AF298:AF309)</f>
        <v>0</v>
      </c>
      <c r="AJ309" s="208">
        <f>AC298</f>
        <v>2045</v>
      </c>
      <c r="AK309" s="240">
        <f>G309+N309+U309+AB309+AI309</f>
        <v>0</v>
      </c>
    </row>
    <row r="310" spans="1:37" x14ac:dyDescent="0.2">
      <c r="A310" s="248"/>
      <c r="B310" s="234"/>
      <c r="C310" s="235"/>
      <c r="D310" s="235"/>
      <c r="E310" s="235"/>
      <c r="F310" s="236"/>
      <c r="G310" s="239"/>
      <c r="H310" s="248"/>
      <c r="I310" s="234"/>
      <c r="J310" s="235"/>
      <c r="K310" s="235"/>
      <c r="L310" s="235"/>
      <c r="M310" s="236"/>
      <c r="N310" s="239"/>
      <c r="O310" s="253"/>
      <c r="P310" s="234"/>
      <c r="Q310" s="235"/>
      <c r="R310" s="235"/>
      <c r="S310" s="235"/>
      <c r="T310" s="236"/>
      <c r="U310" s="239"/>
      <c r="V310" s="254"/>
      <c r="W310" s="234"/>
      <c r="X310" s="235"/>
      <c r="Y310" s="235"/>
      <c r="Z310" s="235"/>
      <c r="AA310" s="247"/>
      <c r="AB310" s="251"/>
      <c r="AC310" s="519">
        <v>2046</v>
      </c>
      <c r="AD310" s="234" t="s">
        <v>225</v>
      </c>
      <c r="AE310" s="235"/>
      <c r="AF310" s="235"/>
      <c r="AG310" s="235"/>
      <c r="AH310" s="247">
        <f t="shared" si="56"/>
        <v>0</v>
      </c>
      <c r="AI310" s="251"/>
      <c r="AK310" s="240"/>
    </row>
    <row r="311" spans="1:37" x14ac:dyDescent="0.2">
      <c r="A311" s="248"/>
      <c r="B311" s="234"/>
      <c r="C311" s="235"/>
      <c r="D311" s="235"/>
      <c r="E311" s="235"/>
      <c r="F311" s="236"/>
      <c r="G311" s="239"/>
      <c r="H311" s="248"/>
      <c r="I311" s="234"/>
      <c r="J311" s="235"/>
      <c r="K311" s="235"/>
      <c r="L311" s="235"/>
      <c r="M311" s="236"/>
      <c r="N311" s="239"/>
      <c r="O311" s="253"/>
      <c r="P311" s="234"/>
      <c r="Q311" s="235"/>
      <c r="R311" s="235"/>
      <c r="S311" s="235"/>
      <c r="T311" s="236"/>
      <c r="U311" s="239"/>
      <c r="V311" s="254"/>
      <c r="W311" s="234"/>
      <c r="X311" s="235"/>
      <c r="Y311" s="235"/>
      <c r="Z311" s="235"/>
      <c r="AA311" s="247"/>
      <c r="AB311" s="251"/>
      <c r="AC311" s="520"/>
      <c r="AD311" s="234" t="s">
        <v>226</v>
      </c>
      <c r="AE311" s="235"/>
      <c r="AF311" s="235"/>
      <c r="AG311" s="235"/>
      <c r="AH311" s="247">
        <f t="shared" si="56"/>
        <v>0</v>
      </c>
      <c r="AI311" s="251"/>
      <c r="AK311" s="240"/>
    </row>
    <row r="312" spans="1:37" x14ac:dyDescent="0.2">
      <c r="A312" s="248"/>
      <c r="B312" s="234"/>
      <c r="C312" s="235"/>
      <c r="D312" s="235"/>
      <c r="E312" s="235"/>
      <c r="F312" s="236"/>
      <c r="G312" s="239"/>
      <c r="H312" s="248"/>
      <c r="I312" s="234"/>
      <c r="J312" s="235"/>
      <c r="K312" s="235"/>
      <c r="L312" s="235"/>
      <c r="M312" s="236"/>
      <c r="N312" s="239"/>
      <c r="O312" s="253"/>
      <c r="P312" s="234"/>
      <c r="Q312" s="235"/>
      <c r="R312" s="235"/>
      <c r="S312" s="235"/>
      <c r="T312" s="236"/>
      <c r="U312" s="239"/>
      <c r="V312" s="254"/>
      <c r="W312" s="234"/>
      <c r="X312" s="235"/>
      <c r="Y312" s="235"/>
      <c r="Z312" s="235"/>
      <c r="AA312" s="247"/>
      <c r="AB312" s="251"/>
      <c r="AC312" s="520"/>
      <c r="AD312" s="234" t="s">
        <v>227</v>
      </c>
      <c r="AE312" s="235"/>
      <c r="AF312" s="235"/>
      <c r="AG312" s="235"/>
      <c r="AH312" s="247">
        <f t="shared" si="56"/>
        <v>0</v>
      </c>
      <c r="AI312" s="251"/>
      <c r="AK312" s="240"/>
    </row>
    <row r="313" spans="1:37" x14ac:dyDescent="0.2">
      <c r="A313" s="248"/>
      <c r="B313" s="234"/>
      <c r="C313" s="235"/>
      <c r="D313" s="235"/>
      <c r="E313" s="235"/>
      <c r="F313" s="236"/>
      <c r="G313" s="239"/>
      <c r="H313" s="248"/>
      <c r="I313" s="234"/>
      <c r="J313" s="235"/>
      <c r="K313" s="235"/>
      <c r="L313" s="235"/>
      <c r="M313" s="236"/>
      <c r="N313" s="239"/>
      <c r="O313" s="253"/>
      <c r="P313" s="234"/>
      <c r="Q313" s="235"/>
      <c r="R313" s="235"/>
      <c r="S313" s="235"/>
      <c r="T313" s="236"/>
      <c r="U313" s="239"/>
      <c r="V313" s="254"/>
      <c r="W313" s="234"/>
      <c r="X313" s="235"/>
      <c r="Y313" s="235"/>
      <c r="Z313" s="235"/>
      <c r="AA313" s="247"/>
      <c r="AB313" s="251"/>
      <c r="AC313" s="520"/>
      <c r="AD313" s="234" t="s">
        <v>228</v>
      </c>
      <c r="AE313" s="235"/>
      <c r="AF313" s="235"/>
      <c r="AG313" s="235"/>
      <c r="AH313" s="247">
        <f t="shared" si="56"/>
        <v>0</v>
      </c>
      <c r="AI313" s="251"/>
      <c r="AK313" s="240"/>
    </row>
    <row r="314" spans="1:37" x14ac:dyDescent="0.2">
      <c r="A314" s="248"/>
      <c r="B314" s="234"/>
      <c r="C314" s="235"/>
      <c r="D314" s="235"/>
      <c r="E314" s="235"/>
      <c r="F314" s="236"/>
      <c r="G314" s="239"/>
      <c r="H314" s="248"/>
      <c r="I314" s="234"/>
      <c r="J314" s="235"/>
      <c r="K314" s="235"/>
      <c r="L314" s="235"/>
      <c r="M314" s="236"/>
      <c r="N314" s="239"/>
      <c r="O314" s="253"/>
      <c r="P314" s="234"/>
      <c r="Q314" s="235"/>
      <c r="R314" s="235"/>
      <c r="S314" s="235"/>
      <c r="T314" s="236"/>
      <c r="U314" s="239"/>
      <c r="V314" s="254"/>
      <c r="W314" s="234"/>
      <c r="X314" s="235"/>
      <c r="Y314" s="235"/>
      <c r="Z314" s="235"/>
      <c r="AA314" s="247"/>
      <c r="AB314" s="251"/>
      <c r="AC314" s="520"/>
      <c r="AD314" s="234" t="s">
        <v>229</v>
      </c>
      <c r="AE314" s="235"/>
      <c r="AF314" s="235"/>
      <c r="AG314" s="235"/>
      <c r="AH314" s="247">
        <f t="shared" si="56"/>
        <v>0</v>
      </c>
      <c r="AI314" s="251"/>
      <c r="AK314" s="240"/>
    </row>
    <row r="315" spans="1:37" x14ac:dyDescent="0.2">
      <c r="A315" s="248"/>
      <c r="B315" s="234"/>
      <c r="C315" s="235"/>
      <c r="D315" s="235"/>
      <c r="E315" s="235"/>
      <c r="F315" s="236"/>
      <c r="G315" s="239"/>
      <c r="H315" s="248"/>
      <c r="I315" s="234"/>
      <c r="J315" s="235"/>
      <c r="K315" s="235"/>
      <c r="L315" s="235"/>
      <c r="M315" s="236"/>
      <c r="N315" s="239"/>
      <c r="O315" s="253"/>
      <c r="P315" s="234"/>
      <c r="Q315" s="235"/>
      <c r="R315" s="235"/>
      <c r="S315" s="235"/>
      <c r="T315" s="236"/>
      <c r="U315" s="239"/>
      <c r="V315" s="254"/>
      <c r="W315" s="234"/>
      <c r="X315" s="235"/>
      <c r="Y315" s="235"/>
      <c r="Z315" s="235"/>
      <c r="AA315" s="247"/>
      <c r="AB315" s="251"/>
      <c r="AC315" s="520"/>
      <c r="AD315" s="234" t="s">
        <v>230</v>
      </c>
      <c r="AE315" s="235"/>
      <c r="AF315" s="235"/>
      <c r="AG315" s="235"/>
      <c r="AH315" s="247">
        <f t="shared" si="56"/>
        <v>0</v>
      </c>
      <c r="AI315" s="251"/>
      <c r="AK315" s="240"/>
    </row>
    <row r="316" spans="1:37" x14ac:dyDescent="0.2">
      <c r="A316" s="248"/>
      <c r="B316" s="234"/>
      <c r="C316" s="235"/>
      <c r="D316" s="235"/>
      <c r="E316" s="235"/>
      <c r="F316" s="236"/>
      <c r="G316" s="239"/>
      <c r="H316" s="248"/>
      <c r="I316" s="234"/>
      <c r="J316" s="235"/>
      <c r="K316" s="235"/>
      <c r="L316" s="235"/>
      <c r="M316" s="236"/>
      <c r="N316" s="239"/>
      <c r="O316" s="253"/>
      <c r="P316" s="234"/>
      <c r="Q316" s="235"/>
      <c r="R316" s="235"/>
      <c r="S316" s="235"/>
      <c r="T316" s="236"/>
      <c r="U316" s="239"/>
      <c r="V316" s="254"/>
      <c r="W316" s="234"/>
      <c r="X316" s="235"/>
      <c r="Y316" s="235"/>
      <c r="Z316" s="235"/>
      <c r="AA316" s="247"/>
      <c r="AB316" s="251"/>
      <c r="AC316" s="520"/>
      <c r="AD316" s="234" t="s">
        <v>231</v>
      </c>
      <c r="AE316" s="235"/>
      <c r="AF316" s="235"/>
      <c r="AG316" s="235"/>
      <c r="AH316" s="247">
        <f t="shared" si="56"/>
        <v>0</v>
      </c>
      <c r="AI316" s="251"/>
      <c r="AK316" s="240"/>
    </row>
    <row r="317" spans="1:37" x14ac:dyDescent="0.2">
      <c r="A317" s="248"/>
      <c r="B317" s="234"/>
      <c r="C317" s="235"/>
      <c r="D317" s="235"/>
      <c r="E317" s="235"/>
      <c r="F317" s="236"/>
      <c r="G317" s="239"/>
      <c r="H317" s="248"/>
      <c r="I317" s="234"/>
      <c r="J317" s="235"/>
      <c r="K317" s="235"/>
      <c r="L317" s="235"/>
      <c r="M317" s="236"/>
      <c r="N317" s="239"/>
      <c r="O317" s="253"/>
      <c r="P317" s="234"/>
      <c r="Q317" s="235"/>
      <c r="R317" s="235"/>
      <c r="S317" s="235"/>
      <c r="T317" s="236"/>
      <c r="U317" s="239"/>
      <c r="V317" s="254"/>
      <c r="W317" s="234"/>
      <c r="X317" s="235"/>
      <c r="Y317" s="235"/>
      <c r="Z317" s="235"/>
      <c r="AA317" s="247"/>
      <c r="AB317" s="251"/>
      <c r="AC317" s="520"/>
      <c r="AD317" s="234" t="s">
        <v>232</v>
      </c>
      <c r="AE317" s="235"/>
      <c r="AF317" s="235"/>
      <c r="AG317" s="235"/>
      <c r="AH317" s="247">
        <f t="shared" si="56"/>
        <v>0</v>
      </c>
      <c r="AI317" s="251"/>
      <c r="AK317" s="240"/>
    </row>
    <row r="318" spans="1:37" x14ac:dyDescent="0.2">
      <c r="A318" s="248"/>
      <c r="B318" s="234"/>
      <c r="C318" s="235"/>
      <c r="D318" s="235"/>
      <c r="E318" s="235"/>
      <c r="F318" s="236"/>
      <c r="G318" s="239"/>
      <c r="H318" s="248"/>
      <c r="I318" s="234"/>
      <c r="J318" s="235"/>
      <c r="K318" s="235"/>
      <c r="L318" s="235"/>
      <c r="M318" s="236"/>
      <c r="N318" s="239"/>
      <c r="O318" s="253"/>
      <c r="P318" s="234"/>
      <c r="Q318" s="235"/>
      <c r="R318" s="235"/>
      <c r="S318" s="235"/>
      <c r="T318" s="236"/>
      <c r="U318" s="239"/>
      <c r="V318" s="254"/>
      <c r="W318" s="234"/>
      <c r="X318" s="235"/>
      <c r="Y318" s="235"/>
      <c r="Z318" s="235"/>
      <c r="AA318" s="247"/>
      <c r="AB318" s="251"/>
      <c r="AC318" s="520"/>
      <c r="AD318" s="234" t="s">
        <v>233</v>
      </c>
      <c r="AE318" s="235"/>
      <c r="AF318" s="235"/>
      <c r="AG318" s="235"/>
      <c r="AH318" s="247">
        <f t="shared" si="56"/>
        <v>0</v>
      </c>
      <c r="AI318" s="251"/>
      <c r="AK318" s="240"/>
    </row>
    <row r="319" spans="1:37" x14ac:dyDescent="0.2">
      <c r="A319" s="248"/>
      <c r="B319" s="234"/>
      <c r="C319" s="235"/>
      <c r="D319" s="235"/>
      <c r="E319" s="235"/>
      <c r="F319" s="236"/>
      <c r="G319" s="239"/>
      <c r="H319" s="248"/>
      <c r="I319" s="234"/>
      <c r="J319" s="235"/>
      <c r="K319" s="235"/>
      <c r="L319" s="235"/>
      <c r="M319" s="236"/>
      <c r="N319" s="239"/>
      <c r="O319" s="253"/>
      <c r="P319" s="234"/>
      <c r="Q319" s="235"/>
      <c r="R319" s="235"/>
      <c r="S319" s="235"/>
      <c r="T319" s="236"/>
      <c r="U319" s="239"/>
      <c r="V319" s="254"/>
      <c r="W319" s="234"/>
      <c r="X319" s="235"/>
      <c r="Y319" s="235"/>
      <c r="Z319" s="235"/>
      <c r="AA319" s="247"/>
      <c r="AB319" s="251"/>
      <c r="AC319" s="520"/>
      <c r="AD319" s="234" t="s">
        <v>234</v>
      </c>
      <c r="AE319" s="235"/>
      <c r="AF319" s="235"/>
      <c r="AG319" s="235"/>
      <c r="AH319" s="247">
        <f t="shared" si="56"/>
        <v>0</v>
      </c>
      <c r="AI319" s="251"/>
      <c r="AK319" s="240"/>
    </row>
    <row r="320" spans="1:37" x14ac:dyDescent="0.2">
      <c r="A320" s="248"/>
      <c r="B320" s="234"/>
      <c r="C320" s="235"/>
      <c r="D320" s="235"/>
      <c r="E320" s="235"/>
      <c r="F320" s="236"/>
      <c r="G320" s="239"/>
      <c r="H320" s="248"/>
      <c r="I320" s="234"/>
      <c r="J320" s="235"/>
      <c r="K320" s="235"/>
      <c r="L320" s="235"/>
      <c r="M320" s="236"/>
      <c r="N320" s="239"/>
      <c r="O320" s="253"/>
      <c r="P320" s="234"/>
      <c r="Q320" s="235"/>
      <c r="R320" s="235"/>
      <c r="S320" s="235"/>
      <c r="T320" s="236"/>
      <c r="U320" s="239"/>
      <c r="V320" s="254"/>
      <c r="W320" s="234"/>
      <c r="X320" s="235"/>
      <c r="Y320" s="235"/>
      <c r="Z320" s="235"/>
      <c r="AA320" s="247"/>
      <c r="AB320" s="251"/>
      <c r="AC320" s="520"/>
      <c r="AD320" s="234" t="s">
        <v>235</v>
      </c>
      <c r="AE320" s="235"/>
      <c r="AF320" s="235"/>
      <c r="AG320" s="235"/>
      <c r="AH320" s="247">
        <f t="shared" si="56"/>
        <v>0</v>
      </c>
      <c r="AI320" s="251"/>
      <c r="AK320" s="240"/>
    </row>
    <row r="321" spans="1:37" x14ac:dyDescent="0.2">
      <c r="A321" s="248"/>
      <c r="B321" s="234"/>
      <c r="C321" s="235"/>
      <c r="D321" s="235"/>
      <c r="E321" s="235"/>
      <c r="F321" s="236"/>
      <c r="G321" s="239"/>
      <c r="H321" s="248"/>
      <c r="I321" s="234"/>
      <c r="J321" s="235"/>
      <c r="K321" s="235"/>
      <c r="L321" s="235"/>
      <c r="M321" s="236"/>
      <c r="N321" s="239"/>
      <c r="O321" s="253"/>
      <c r="P321" s="234"/>
      <c r="Q321" s="235"/>
      <c r="R321" s="235"/>
      <c r="S321" s="235"/>
      <c r="T321" s="236"/>
      <c r="U321" s="239"/>
      <c r="V321" s="254"/>
      <c r="W321" s="234"/>
      <c r="X321" s="235"/>
      <c r="Y321" s="235"/>
      <c r="Z321" s="235"/>
      <c r="AA321" s="247"/>
      <c r="AB321" s="251"/>
      <c r="AC321" s="521"/>
      <c r="AD321" s="234" t="s">
        <v>236</v>
      </c>
      <c r="AE321" s="235"/>
      <c r="AF321" s="235"/>
      <c r="AG321" s="235"/>
      <c r="AH321" s="247">
        <f t="shared" si="56"/>
        <v>0</v>
      </c>
      <c r="AI321" s="251"/>
      <c r="AK321" s="240"/>
    </row>
    <row r="322" spans="1:37" x14ac:dyDescent="0.2">
      <c r="A322" s="248"/>
      <c r="B322" s="234"/>
      <c r="C322" s="235"/>
      <c r="D322" s="235"/>
      <c r="E322" s="235"/>
      <c r="F322" s="236"/>
      <c r="G322" s="239"/>
      <c r="H322" s="248"/>
      <c r="I322" s="234"/>
      <c r="J322" s="235"/>
      <c r="K322" s="235"/>
      <c r="L322" s="235"/>
      <c r="M322" s="236"/>
      <c r="N322" s="239"/>
      <c r="O322" s="253"/>
      <c r="P322" s="234"/>
      <c r="Q322" s="235"/>
      <c r="R322" s="235"/>
      <c r="S322" s="235"/>
      <c r="T322" s="236"/>
      <c r="U322" s="239"/>
      <c r="V322" s="254"/>
      <c r="W322" s="234"/>
      <c r="X322" s="235"/>
      <c r="Y322" s="235"/>
      <c r="Z322" s="235"/>
      <c r="AA322" s="247"/>
      <c r="AB322" s="251"/>
      <c r="AC322" s="519">
        <v>2047</v>
      </c>
      <c r="AD322" s="234" t="s">
        <v>225</v>
      </c>
      <c r="AE322" s="235"/>
      <c r="AF322" s="235"/>
      <c r="AG322" s="235"/>
      <c r="AH322" s="247">
        <f t="shared" si="56"/>
        <v>0</v>
      </c>
      <c r="AI322" s="251"/>
      <c r="AK322" s="240"/>
    </row>
    <row r="323" spans="1:37" x14ac:dyDescent="0.2">
      <c r="A323" s="248"/>
      <c r="B323" s="234"/>
      <c r="C323" s="235"/>
      <c r="D323" s="235"/>
      <c r="E323" s="235"/>
      <c r="F323" s="236"/>
      <c r="G323" s="239"/>
      <c r="H323" s="248"/>
      <c r="I323" s="234"/>
      <c r="J323" s="235"/>
      <c r="K323" s="235"/>
      <c r="L323" s="235"/>
      <c r="M323" s="236"/>
      <c r="N323" s="239"/>
      <c r="O323" s="253"/>
      <c r="P323" s="234"/>
      <c r="Q323" s="235"/>
      <c r="R323" s="235"/>
      <c r="S323" s="235"/>
      <c r="T323" s="236"/>
      <c r="U323" s="239"/>
      <c r="V323" s="254"/>
      <c r="W323" s="234"/>
      <c r="X323" s="235"/>
      <c r="Y323" s="235"/>
      <c r="Z323" s="235"/>
      <c r="AA323" s="247"/>
      <c r="AB323" s="251"/>
      <c r="AC323" s="520"/>
      <c r="AD323" s="234" t="s">
        <v>226</v>
      </c>
      <c r="AE323" s="235"/>
      <c r="AF323" s="235"/>
      <c r="AG323" s="235"/>
      <c r="AH323" s="247">
        <f t="shared" si="56"/>
        <v>0</v>
      </c>
      <c r="AI323" s="251"/>
      <c r="AK323" s="240"/>
    </row>
    <row r="324" spans="1:37" x14ac:dyDescent="0.2">
      <c r="A324" s="248"/>
      <c r="B324" s="234"/>
      <c r="C324" s="235"/>
      <c r="D324" s="235"/>
      <c r="E324" s="235"/>
      <c r="F324" s="236"/>
      <c r="G324" s="239"/>
      <c r="H324" s="248"/>
      <c r="I324" s="234"/>
      <c r="J324" s="235"/>
      <c r="K324" s="235"/>
      <c r="L324" s="235"/>
      <c r="M324" s="236"/>
      <c r="N324" s="239"/>
      <c r="O324" s="253"/>
      <c r="P324" s="234"/>
      <c r="Q324" s="235"/>
      <c r="R324" s="235"/>
      <c r="S324" s="235"/>
      <c r="T324" s="236"/>
      <c r="U324" s="239"/>
      <c r="V324" s="254"/>
      <c r="W324" s="234"/>
      <c r="X324" s="235"/>
      <c r="Y324" s="235"/>
      <c r="Z324" s="235"/>
      <c r="AA324" s="247"/>
      <c r="AB324" s="251"/>
      <c r="AC324" s="520"/>
      <c r="AD324" s="234" t="s">
        <v>227</v>
      </c>
      <c r="AE324" s="235"/>
      <c r="AF324" s="235"/>
      <c r="AG324" s="235"/>
      <c r="AH324" s="247">
        <f t="shared" si="56"/>
        <v>0</v>
      </c>
      <c r="AI324" s="251"/>
      <c r="AK324" s="240"/>
    </row>
    <row r="325" spans="1:37" x14ac:dyDescent="0.2">
      <c r="A325" s="248"/>
      <c r="B325" s="234"/>
      <c r="C325" s="235"/>
      <c r="D325" s="235"/>
      <c r="E325" s="235"/>
      <c r="F325" s="236"/>
      <c r="G325" s="239"/>
      <c r="H325" s="248"/>
      <c r="I325" s="234"/>
      <c r="J325" s="235"/>
      <c r="K325" s="235"/>
      <c r="L325" s="235"/>
      <c r="M325" s="236"/>
      <c r="N325" s="239"/>
      <c r="O325" s="253"/>
      <c r="P325" s="234"/>
      <c r="Q325" s="235"/>
      <c r="R325" s="235"/>
      <c r="S325" s="235"/>
      <c r="T325" s="236"/>
      <c r="U325" s="239"/>
      <c r="V325" s="254"/>
      <c r="W325" s="234"/>
      <c r="X325" s="235"/>
      <c r="Y325" s="235"/>
      <c r="Z325" s="235"/>
      <c r="AA325" s="247"/>
      <c r="AB325" s="251"/>
      <c r="AC325" s="520"/>
      <c r="AD325" s="234" t="s">
        <v>228</v>
      </c>
      <c r="AE325" s="235"/>
      <c r="AF325" s="235"/>
      <c r="AG325" s="235"/>
      <c r="AH325" s="247">
        <f t="shared" si="56"/>
        <v>0</v>
      </c>
      <c r="AI325" s="251"/>
      <c r="AK325" s="240"/>
    </row>
    <row r="326" spans="1:37" x14ac:dyDescent="0.2">
      <c r="A326" s="248"/>
      <c r="B326" s="234"/>
      <c r="C326" s="235"/>
      <c r="D326" s="235"/>
      <c r="E326" s="235"/>
      <c r="F326" s="236"/>
      <c r="G326" s="239"/>
      <c r="H326" s="248"/>
      <c r="I326" s="234"/>
      <c r="J326" s="235"/>
      <c r="K326" s="235"/>
      <c r="L326" s="235"/>
      <c r="M326" s="236"/>
      <c r="N326" s="239"/>
      <c r="O326" s="253"/>
      <c r="P326" s="234"/>
      <c r="Q326" s="235"/>
      <c r="R326" s="235"/>
      <c r="S326" s="235"/>
      <c r="T326" s="236"/>
      <c r="U326" s="239"/>
      <c r="V326" s="254"/>
      <c r="W326" s="234"/>
      <c r="X326" s="235"/>
      <c r="Y326" s="235"/>
      <c r="Z326" s="235"/>
      <c r="AA326" s="247"/>
      <c r="AB326" s="251"/>
      <c r="AC326" s="520"/>
      <c r="AD326" s="234" t="s">
        <v>229</v>
      </c>
      <c r="AE326" s="235"/>
      <c r="AF326" s="235"/>
      <c r="AG326" s="235"/>
      <c r="AH326" s="247"/>
      <c r="AI326" s="251"/>
      <c r="AK326" s="240"/>
    </row>
    <row r="327" spans="1:37" x14ac:dyDescent="0.2">
      <c r="A327" s="248"/>
      <c r="B327" s="234"/>
      <c r="C327" s="235"/>
      <c r="D327" s="235"/>
      <c r="E327" s="235"/>
      <c r="F327" s="236"/>
      <c r="G327" s="239"/>
      <c r="H327" s="248"/>
      <c r="I327" s="234"/>
      <c r="J327" s="235"/>
      <c r="K327" s="235"/>
      <c r="L327" s="235"/>
      <c r="M327" s="236"/>
      <c r="N327" s="239"/>
      <c r="O327" s="253"/>
      <c r="P327" s="234"/>
      <c r="Q327" s="235"/>
      <c r="R327" s="235"/>
      <c r="S327" s="235"/>
      <c r="T327" s="236"/>
      <c r="U327" s="239"/>
      <c r="V327" s="254"/>
      <c r="W327" s="234"/>
      <c r="X327" s="235"/>
      <c r="Y327" s="235"/>
      <c r="Z327" s="235"/>
      <c r="AA327" s="247"/>
      <c r="AB327" s="251"/>
      <c r="AC327" s="520"/>
      <c r="AD327" s="234" t="s">
        <v>230</v>
      </c>
      <c r="AE327" s="235"/>
      <c r="AF327" s="235"/>
      <c r="AG327" s="235"/>
      <c r="AH327" s="247"/>
      <c r="AI327" s="251"/>
      <c r="AK327" s="240"/>
    </row>
    <row r="328" spans="1:37" x14ac:dyDescent="0.2">
      <c r="A328" s="248"/>
      <c r="B328" s="234"/>
      <c r="C328" s="235"/>
      <c r="D328" s="235"/>
      <c r="E328" s="235"/>
      <c r="F328" s="236"/>
      <c r="G328" s="239"/>
      <c r="H328" s="248"/>
      <c r="I328" s="234"/>
      <c r="J328" s="235"/>
      <c r="K328" s="235"/>
      <c r="L328" s="235"/>
      <c r="M328" s="236"/>
      <c r="N328" s="239"/>
      <c r="O328" s="253"/>
      <c r="P328" s="234"/>
      <c r="Q328" s="235"/>
      <c r="R328" s="235"/>
      <c r="S328" s="235"/>
      <c r="T328" s="236"/>
      <c r="U328" s="239"/>
      <c r="V328" s="254"/>
      <c r="W328" s="234"/>
      <c r="X328" s="235"/>
      <c r="Y328" s="235"/>
      <c r="Z328" s="235"/>
      <c r="AA328" s="247"/>
      <c r="AB328" s="251"/>
      <c r="AC328" s="520"/>
      <c r="AD328" s="234" t="s">
        <v>231</v>
      </c>
      <c r="AE328" s="235"/>
      <c r="AF328" s="235"/>
      <c r="AG328" s="235"/>
      <c r="AH328" s="247"/>
      <c r="AI328" s="251"/>
      <c r="AK328" s="240"/>
    </row>
    <row r="329" spans="1:37" x14ac:dyDescent="0.2">
      <c r="A329" s="248"/>
      <c r="B329" s="234"/>
      <c r="C329" s="235"/>
      <c r="D329" s="235"/>
      <c r="E329" s="235"/>
      <c r="F329" s="236"/>
      <c r="G329" s="239"/>
      <c r="H329" s="248"/>
      <c r="I329" s="234"/>
      <c r="J329" s="235"/>
      <c r="K329" s="235"/>
      <c r="L329" s="235"/>
      <c r="M329" s="236"/>
      <c r="N329" s="239"/>
      <c r="O329" s="253"/>
      <c r="P329" s="234"/>
      <c r="Q329" s="235"/>
      <c r="R329" s="235"/>
      <c r="S329" s="235"/>
      <c r="T329" s="236"/>
      <c r="U329" s="239"/>
      <c r="V329" s="254"/>
      <c r="W329" s="234"/>
      <c r="X329" s="235"/>
      <c r="Y329" s="235"/>
      <c r="Z329" s="235"/>
      <c r="AA329" s="247"/>
      <c r="AB329" s="251"/>
      <c r="AC329" s="520"/>
      <c r="AD329" s="234" t="s">
        <v>232</v>
      </c>
      <c r="AE329" s="235"/>
      <c r="AF329" s="235"/>
      <c r="AG329" s="235"/>
      <c r="AH329" s="247"/>
      <c r="AI329" s="251"/>
      <c r="AK329" s="240"/>
    </row>
    <row r="330" spans="1:37" x14ac:dyDescent="0.2">
      <c r="A330" s="248"/>
      <c r="B330" s="234"/>
      <c r="C330" s="235"/>
      <c r="D330" s="235"/>
      <c r="E330" s="235"/>
      <c r="F330" s="236"/>
      <c r="G330" s="239"/>
      <c r="H330" s="248"/>
      <c r="I330" s="234"/>
      <c r="J330" s="235"/>
      <c r="K330" s="235"/>
      <c r="L330" s="235"/>
      <c r="M330" s="236"/>
      <c r="N330" s="239"/>
      <c r="O330" s="253"/>
      <c r="P330" s="234"/>
      <c r="Q330" s="235"/>
      <c r="R330" s="235"/>
      <c r="S330" s="235"/>
      <c r="T330" s="236"/>
      <c r="U330" s="239"/>
      <c r="V330" s="254"/>
      <c r="W330" s="234"/>
      <c r="X330" s="235"/>
      <c r="Y330" s="235"/>
      <c r="Z330" s="235"/>
      <c r="AA330" s="247">
        <f>Y330+Z330</f>
        <v>0</v>
      </c>
      <c r="AB330" s="239"/>
      <c r="AC330" s="520"/>
      <c r="AD330" s="234" t="s">
        <v>233</v>
      </c>
      <c r="AE330" s="235"/>
      <c r="AF330" s="235"/>
      <c r="AG330" s="235"/>
      <c r="AH330" s="247"/>
      <c r="AI330" s="239"/>
      <c r="AK330" s="240"/>
    </row>
    <row r="331" spans="1:37" x14ac:dyDescent="0.2">
      <c r="A331" s="248"/>
      <c r="B331" s="234"/>
      <c r="C331" s="235"/>
      <c r="D331" s="235"/>
      <c r="E331" s="235"/>
      <c r="F331" s="236"/>
      <c r="G331" s="239"/>
      <c r="H331" s="248"/>
      <c r="I331" s="234"/>
      <c r="J331" s="235"/>
      <c r="K331" s="235"/>
      <c r="L331" s="235"/>
      <c r="M331" s="236"/>
      <c r="N331" s="239"/>
      <c r="O331" s="253"/>
      <c r="P331" s="234"/>
      <c r="Q331" s="235"/>
      <c r="R331" s="235"/>
      <c r="S331" s="235"/>
      <c r="T331" s="236"/>
      <c r="U331" s="239"/>
      <c r="V331" s="254"/>
      <c r="W331" s="234"/>
      <c r="X331" s="235"/>
      <c r="Y331" s="235"/>
      <c r="Z331" s="235"/>
      <c r="AA331" s="247">
        <f>Y331+Z331</f>
        <v>0</v>
      </c>
      <c r="AB331" s="239"/>
      <c r="AC331" s="520"/>
      <c r="AD331" s="234" t="s">
        <v>234</v>
      </c>
      <c r="AE331" s="235"/>
      <c r="AF331" s="235"/>
      <c r="AG331" s="235"/>
      <c r="AH331" s="247"/>
      <c r="AI331" s="239"/>
      <c r="AK331" s="240"/>
    </row>
    <row r="332" spans="1:37" x14ac:dyDescent="0.2">
      <c r="A332" s="248"/>
      <c r="B332" s="234"/>
      <c r="C332" s="235"/>
      <c r="D332" s="235"/>
      <c r="E332" s="235"/>
      <c r="F332" s="236"/>
      <c r="G332" s="239"/>
      <c r="H332" s="248"/>
      <c r="I332" s="234"/>
      <c r="J332" s="235"/>
      <c r="K332" s="235"/>
      <c r="L332" s="235"/>
      <c r="M332" s="236"/>
      <c r="N332" s="239"/>
      <c r="O332" s="253"/>
      <c r="P332" s="234"/>
      <c r="Q332" s="235"/>
      <c r="R332" s="235"/>
      <c r="S332" s="235"/>
      <c r="T332" s="236"/>
      <c r="U332" s="239"/>
      <c r="V332" s="254"/>
      <c r="W332" s="234"/>
      <c r="X332" s="235"/>
      <c r="Y332" s="235"/>
      <c r="Z332" s="235"/>
      <c r="AA332" s="247"/>
      <c r="AB332" s="239"/>
      <c r="AC332" s="520"/>
      <c r="AD332" s="234" t="s">
        <v>235</v>
      </c>
      <c r="AE332" s="235"/>
      <c r="AF332" s="235"/>
      <c r="AG332" s="235"/>
      <c r="AH332" s="247"/>
      <c r="AI332" s="239"/>
      <c r="AK332" s="240"/>
    </row>
    <row r="333" spans="1:37" x14ac:dyDescent="0.2">
      <c r="A333" s="248"/>
      <c r="B333" s="234"/>
      <c r="C333" s="235"/>
      <c r="D333" s="235"/>
      <c r="E333" s="235"/>
      <c r="F333" s="236"/>
      <c r="G333" s="239"/>
      <c r="H333" s="248"/>
      <c r="I333" s="234"/>
      <c r="J333" s="235"/>
      <c r="K333" s="235"/>
      <c r="L333" s="235"/>
      <c r="M333" s="236"/>
      <c r="N333" s="239"/>
      <c r="O333" s="253"/>
      <c r="P333" s="234"/>
      <c r="Q333" s="235"/>
      <c r="R333" s="235"/>
      <c r="S333" s="235"/>
      <c r="T333" s="236"/>
      <c r="U333" s="239"/>
      <c r="V333" s="254"/>
      <c r="W333" s="234"/>
      <c r="X333" s="235"/>
      <c r="Y333" s="235"/>
      <c r="Z333" s="235"/>
      <c r="AA333" s="247"/>
      <c r="AB333" s="239"/>
      <c r="AC333" s="521"/>
      <c r="AD333" s="234" t="s">
        <v>236</v>
      </c>
      <c r="AE333" s="235"/>
      <c r="AF333" s="235"/>
      <c r="AG333" s="235"/>
      <c r="AH333" s="247"/>
      <c r="AI333" s="239"/>
      <c r="AK333" s="240"/>
    </row>
    <row r="334" spans="1:37" x14ac:dyDescent="0.2">
      <c r="A334" s="248"/>
      <c r="B334" s="234"/>
      <c r="C334" s="235"/>
      <c r="D334" s="235"/>
      <c r="E334" s="235"/>
      <c r="F334" s="236"/>
      <c r="G334" s="239"/>
      <c r="H334" s="248"/>
      <c r="I334" s="234"/>
      <c r="J334" s="235"/>
      <c r="K334" s="235"/>
      <c r="L334" s="235"/>
      <c r="M334" s="236"/>
      <c r="N334" s="239"/>
      <c r="O334" s="253"/>
      <c r="P334" s="234"/>
      <c r="Q334" s="235"/>
      <c r="R334" s="235"/>
      <c r="S334" s="235"/>
      <c r="T334" s="236"/>
      <c r="U334" s="239"/>
      <c r="V334" s="254"/>
      <c r="W334" s="234"/>
      <c r="X334" s="235"/>
      <c r="Y334" s="235"/>
      <c r="Z334" s="235"/>
      <c r="AA334" s="247"/>
      <c r="AB334" s="239"/>
      <c r="AC334" s="254"/>
      <c r="AD334" s="234"/>
      <c r="AE334" s="235"/>
      <c r="AF334" s="235"/>
      <c r="AG334" s="235"/>
      <c r="AH334" s="247"/>
      <c r="AI334" s="239"/>
      <c r="AK334" s="240"/>
    </row>
    <row r="335" spans="1:37" x14ac:dyDescent="0.2">
      <c r="A335" s="248"/>
      <c r="B335" s="234"/>
      <c r="C335" s="235"/>
      <c r="D335" s="235"/>
      <c r="E335" s="235"/>
      <c r="F335" s="236"/>
      <c r="G335" s="239"/>
      <c r="H335" s="248"/>
      <c r="I335" s="234"/>
      <c r="J335" s="235"/>
      <c r="K335" s="235"/>
      <c r="L335" s="235"/>
      <c r="M335" s="236"/>
      <c r="N335" s="239"/>
      <c r="O335" s="253"/>
      <c r="P335" s="234"/>
      <c r="Q335" s="235"/>
      <c r="R335" s="235"/>
      <c r="S335" s="235"/>
      <c r="T335" s="236"/>
      <c r="U335" s="239"/>
      <c r="V335" s="254"/>
      <c r="W335" s="234"/>
      <c r="X335" s="235"/>
      <c r="Y335" s="235"/>
      <c r="Z335" s="235"/>
      <c r="AA335" s="247"/>
      <c r="AB335" s="239"/>
      <c r="AC335" s="254"/>
      <c r="AD335" s="234"/>
      <c r="AE335" s="235"/>
      <c r="AF335" s="235"/>
      <c r="AG335" s="235"/>
      <c r="AH335" s="247"/>
      <c r="AI335" s="239"/>
      <c r="AK335" s="240"/>
    </row>
    <row r="336" spans="1:37" x14ac:dyDescent="0.2">
      <c r="A336" s="234"/>
      <c r="B336" s="234"/>
      <c r="C336" s="220" t="s">
        <v>879</v>
      </c>
      <c r="D336" s="236">
        <f>SUM(D10:D333)</f>
        <v>2916.713850000001</v>
      </c>
      <c r="E336" s="236">
        <f>SUM(E10:E333)</f>
        <v>1643.8633333333262</v>
      </c>
      <c r="F336" s="236">
        <f>SUM(F10:F333)</f>
        <v>4560.5771833333365</v>
      </c>
      <c r="G336" s="236">
        <f>SUM(G10:G333)</f>
        <v>2916.713850000001</v>
      </c>
      <c r="H336" s="234"/>
      <c r="I336" s="234"/>
      <c r="J336" s="220" t="s">
        <v>879</v>
      </c>
      <c r="K336" s="236">
        <f>SUM(K10:K333)</f>
        <v>692.60904166666398</v>
      </c>
      <c r="L336" s="236">
        <f>SUM(L10:L333)</f>
        <v>686.88500000000158</v>
      </c>
      <c r="M336" s="236">
        <f>SUM(M10:M333)</f>
        <v>1379.4940416666636</v>
      </c>
      <c r="N336" s="236">
        <f>SUM(N10:N333)</f>
        <v>692.60904166666387</v>
      </c>
      <c r="O336" s="234"/>
      <c r="P336" s="234"/>
      <c r="Q336" s="220" t="s">
        <v>879</v>
      </c>
      <c r="R336" s="236">
        <f>SUM(R10:R333)</f>
        <v>1669.3280999999968</v>
      </c>
      <c r="S336" s="236">
        <f>SUM(S10:S333)</f>
        <v>1655.5320000000022</v>
      </c>
      <c r="T336" s="236">
        <f>SUM(T10:T333)</f>
        <v>3324.8600999999962</v>
      </c>
      <c r="U336" s="236">
        <f>SUM(U10:U333)</f>
        <v>1669.328099999997</v>
      </c>
      <c r="V336" s="234"/>
      <c r="W336" s="234"/>
      <c r="X336" s="220" t="s">
        <v>879</v>
      </c>
      <c r="Y336" s="236">
        <f>SUM(Y10:Y333)</f>
        <v>0</v>
      </c>
      <c r="Z336" s="236">
        <f>SUM(Z10:Z333)</f>
        <v>0</v>
      </c>
      <c r="AA336" s="236">
        <f>SUM(AA10:AA333)</f>
        <v>0</v>
      </c>
      <c r="AB336" s="236">
        <f>SUM(AB10:AB333)</f>
        <v>0</v>
      </c>
      <c r="AC336" s="234"/>
      <c r="AD336" s="234"/>
      <c r="AE336" s="220" t="s">
        <v>879</v>
      </c>
      <c r="AF336" s="236">
        <f>SUM(AF10:AF333)</f>
        <v>0</v>
      </c>
      <c r="AG336" s="236">
        <f>SUM(AG10:AG333)</f>
        <v>0</v>
      </c>
      <c r="AH336" s="236">
        <f>SUM(AH10:AH333)</f>
        <v>0</v>
      </c>
      <c r="AI336" s="236">
        <f>SUM(AI10:AI333)</f>
        <v>0</v>
      </c>
      <c r="AJ336" s="208" t="s">
        <v>0</v>
      </c>
      <c r="AK336" s="240">
        <f>SUM(AK10:AK335)</f>
        <v>5278.6509916666619</v>
      </c>
    </row>
    <row r="337" spans="1:37" x14ac:dyDescent="0.2">
      <c r="A337" s="522" t="s">
        <v>880</v>
      </c>
      <c r="B337" s="522"/>
      <c r="C337" s="522"/>
      <c r="D337" s="255">
        <f>E337/E336</f>
        <v>1.7743043420073583</v>
      </c>
      <c r="E337" s="256">
        <f>F336-E336</f>
        <v>2916.7138500000101</v>
      </c>
      <c r="F337" s="257"/>
      <c r="G337" s="257"/>
      <c r="H337" s="522" t="s">
        <v>880</v>
      </c>
      <c r="I337" s="522"/>
      <c r="J337" s="522"/>
      <c r="K337" s="255">
        <f>L337/L336</f>
        <v>1.0083333333333242</v>
      </c>
      <c r="L337" s="256">
        <f>M336-L336</f>
        <v>692.60904166666205</v>
      </c>
      <c r="M337" s="257"/>
      <c r="N337" s="257"/>
      <c r="O337" s="522" t="s">
        <v>880</v>
      </c>
      <c r="P337" s="522"/>
      <c r="Q337" s="522"/>
      <c r="R337" s="255">
        <f>S337/S336</f>
        <v>1.0083333333333284</v>
      </c>
      <c r="S337" s="256">
        <f>T336-S336</f>
        <v>1669.328099999994</v>
      </c>
      <c r="T337" s="257"/>
      <c r="U337" s="257"/>
      <c r="V337" s="258"/>
      <c r="W337" s="258"/>
      <c r="X337" s="258"/>
      <c r="Y337" s="255" t="e">
        <f>Z337/Z336</f>
        <v>#DIV/0!</v>
      </c>
      <c r="Z337" s="256">
        <f>AA336-Z336</f>
        <v>0</v>
      </c>
      <c r="AA337" s="257"/>
      <c r="AB337" s="257"/>
      <c r="AC337" s="258"/>
      <c r="AD337" s="258"/>
      <c r="AE337" s="258"/>
      <c r="AF337" s="255" t="e">
        <f>AG337/AG336</f>
        <v>#DIV/0!</v>
      </c>
      <c r="AG337" s="256">
        <f>AH336-AG336</f>
        <v>0</v>
      </c>
      <c r="AH337" s="257"/>
      <c r="AI337" s="257"/>
    </row>
    <row r="338" spans="1:37" x14ac:dyDescent="0.2">
      <c r="S338" s="208" t="b">
        <f>S336=Q7</f>
        <v>1</v>
      </c>
    </row>
    <row r="339" spans="1:37" x14ac:dyDescent="0.2">
      <c r="S339" s="213">
        <f>Q7-S336</f>
        <v>-2.2737367544323206E-12</v>
      </c>
    </row>
    <row r="340" spans="1:37" x14ac:dyDescent="0.2">
      <c r="B340" s="208" t="s">
        <v>881</v>
      </c>
      <c r="C340" s="269">
        <f>C7+J7+Q7+X7+AE7</f>
        <v>10858.137000000001</v>
      </c>
      <c r="D340" s="261"/>
      <c r="E340" s="210"/>
    </row>
    <row r="341" spans="1:37" x14ac:dyDescent="0.2">
      <c r="B341" s="208" t="s">
        <v>882</v>
      </c>
      <c r="C341" s="260">
        <f>E337+L337+S337+Z337+AG337</f>
        <v>5278.6509916666664</v>
      </c>
      <c r="D341" s="261">
        <f>G336+N336+U336</f>
        <v>5278.6509916666619</v>
      </c>
      <c r="E341" s="261"/>
    </row>
    <row r="342" spans="1:37" x14ac:dyDescent="0.2">
      <c r="B342" s="208" t="s">
        <v>883</v>
      </c>
      <c r="C342" s="262">
        <f>C341/C340</f>
        <v>0.48614702427006273</v>
      </c>
      <c r="D342" s="262"/>
      <c r="F342" s="262"/>
    </row>
    <row r="343" spans="1:37" x14ac:dyDescent="0.2">
      <c r="B343" s="208" t="s">
        <v>898</v>
      </c>
      <c r="C343" s="270">
        <f>C340*1.2</f>
        <v>13029.7644</v>
      </c>
    </row>
    <row r="345" spans="1:37" x14ac:dyDescent="0.2">
      <c r="D345" s="208">
        <v>2022</v>
      </c>
      <c r="E345" s="208">
        <v>2023</v>
      </c>
      <c r="F345" s="208">
        <v>2024</v>
      </c>
      <c r="G345" s="208">
        <v>2025</v>
      </c>
      <c r="H345" s="208">
        <v>2026</v>
      </c>
      <c r="I345" s="208">
        <v>2027</v>
      </c>
      <c r="J345" s="208">
        <v>2028</v>
      </c>
      <c r="K345" s="208">
        <v>2029</v>
      </c>
      <c r="L345" s="208">
        <v>2030</v>
      </c>
      <c r="M345" s="208">
        <v>2031</v>
      </c>
      <c r="N345" s="208">
        <v>2032</v>
      </c>
      <c r="O345" s="208">
        <v>2033</v>
      </c>
      <c r="P345" s="208">
        <v>2034</v>
      </c>
      <c r="Q345" s="208">
        <v>2035</v>
      </c>
      <c r="R345" s="208">
        <v>2036</v>
      </c>
      <c r="S345" s="208">
        <v>2037</v>
      </c>
      <c r="T345" s="208">
        <v>2038</v>
      </c>
      <c r="U345" s="208">
        <v>2039</v>
      </c>
      <c r="V345" s="208">
        <v>2039</v>
      </c>
      <c r="W345" s="208">
        <v>2040</v>
      </c>
      <c r="X345" s="208">
        <v>2041</v>
      </c>
      <c r="Y345" s="208">
        <v>2042</v>
      </c>
      <c r="Z345" s="208">
        <v>2043</v>
      </c>
      <c r="AA345" s="208">
        <v>2044</v>
      </c>
      <c r="AB345" s="208">
        <v>2045</v>
      </c>
      <c r="AC345" s="208">
        <v>2046</v>
      </c>
      <c r="AD345" s="208">
        <v>2047</v>
      </c>
      <c r="AE345" s="208" t="s">
        <v>884</v>
      </c>
    </row>
    <row r="346" spans="1:37" x14ac:dyDescent="0.2">
      <c r="C346" s="208" t="s">
        <v>13</v>
      </c>
      <c r="D346" s="261" t="s">
        <v>893</v>
      </c>
      <c r="E346" s="261">
        <f>G33</f>
        <v>0</v>
      </c>
      <c r="F346" s="261">
        <f>G45</f>
        <v>0</v>
      </c>
      <c r="G346" s="261">
        <f>G57</f>
        <v>1625.0832333333335</v>
      </c>
      <c r="H346" s="261">
        <f>G69</f>
        <v>1226.8754826460481</v>
      </c>
      <c r="I346" s="261">
        <f>G81</f>
        <v>15.251538144330093</v>
      </c>
      <c r="J346" s="261">
        <f>G93</f>
        <v>13.206639175257907</v>
      </c>
      <c r="K346" s="261">
        <f>G105</f>
        <v>11.161740206185719</v>
      </c>
      <c r="L346" s="261">
        <f>G117</f>
        <v>9.1168412371135314</v>
      </c>
      <c r="M346" s="261">
        <f>G129</f>
        <v>7.0719422680413428</v>
      </c>
      <c r="N346" s="261">
        <f>G141</f>
        <v>5.027043298969156</v>
      </c>
      <c r="O346" s="261">
        <f>G153</f>
        <v>2.9821443298969674</v>
      </c>
      <c r="P346" s="261">
        <f>G165</f>
        <v>0.9372453608247745</v>
      </c>
      <c r="Q346" s="261">
        <f>G177</f>
        <v>0</v>
      </c>
      <c r="R346" s="240">
        <f>AK189</f>
        <v>0</v>
      </c>
      <c r="S346" s="240">
        <f>AK213</f>
        <v>0</v>
      </c>
      <c r="T346" s="240"/>
      <c r="U346" s="240"/>
      <c r="V346" s="261">
        <f>AK237</f>
        <v>0</v>
      </c>
      <c r="W346" s="261">
        <f>AK249</f>
        <v>0</v>
      </c>
      <c r="X346" s="261">
        <f>AK261</f>
        <v>0</v>
      </c>
      <c r="Y346" s="240">
        <f>AK273</f>
        <v>0</v>
      </c>
      <c r="Z346" s="240">
        <f>AK285</f>
        <v>0</v>
      </c>
      <c r="AA346" s="261">
        <f>AK297</f>
        <v>0</v>
      </c>
      <c r="AB346" s="240">
        <f>AK309</f>
        <v>0</v>
      </c>
      <c r="AC346" s="261">
        <f>AK321</f>
        <v>0</v>
      </c>
      <c r="AD346" s="261">
        <f>AQ249</f>
        <v>0</v>
      </c>
      <c r="AE346" s="261">
        <f>SUM(D346:AD346)</f>
        <v>2916.713850000001</v>
      </c>
      <c r="AF346" s="240" t="b">
        <f>AK336=AE346</f>
        <v>0</v>
      </c>
      <c r="AG346" s="240"/>
      <c r="AH346" s="261"/>
      <c r="AJ346" s="261">
        <f>SUM(D346:U346)</f>
        <v>2916.713850000001</v>
      </c>
      <c r="AK346" s="261" t="b">
        <f>AJ346=G336</f>
        <v>1</v>
      </c>
    </row>
    <row r="347" spans="1:37" x14ac:dyDescent="0.2">
      <c r="D347" s="208" t="s">
        <v>886</v>
      </c>
      <c r="E347" s="263">
        <f>N33+U33</f>
        <v>0</v>
      </c>
      <c r="F347" s="263">
        <f>N45+U45</f>
        <v>0</v>
      </c>
      <c r="G347" s="263">
        <f>N57+U57</f>
        <v>131.08055416666662</v>
      </c>
      <c r="H347" s="263">
        <f>N69+U69</f>
        <v>433.27354416666645</v>
      </c>
      <c r="I347" s="263">
        <f>N81+U81</f>
        <v>386.42520416666628</v>
      </c>
      <c r="J347" s="263">
        <f>N93+U93</f>
        <v>339.57686416666616</v>
      </c>
      <c r="K347" s="263">
        <f>N105+U105</f>
        <v>292.72852416666615</v>
      </c>
      <c r="L347" s="263">
        <f>N117+U117</f>
        <v>245.88018416666608</v>
      </c>
      <c r="M347" s="263">
        <f>N129+U129</f>
        <v>199.03184416666605</v>
      </c>
      <c r="N347" s="263">
        <f>N141+U141</f>
        <v>152.18350416666598</v>
      </c>
      <c r="O347" s="263">
        <f>N153+U153</f>
        <v>105.33516416666595</v>
      </c>
      <c r="P347" s="263">
        <f>N165+U165</f>
        <v>58.486824166665876</v>
      </c>
      <c r="Q347" s="263">
        <f>N177+U177</f>
        <v>17.934929999999511</v>
      </c>
      <c r="R347" s="261">
        <f>N189+U189</f>
        <v>0</v>
      </c>
      <c r="AJ347" s="261">
        <f>SUM(D347:U347)</f>
        <v>2361.9371416666613</v>
      </c>
      <c r="AK347" s="261" t="b">
        <f>N336+U336=AJ347</f>
        <v>1</v>
      </c>
    </row>
    <row r="348" spans="1:37" x14ac:dyDescent="0.2">
      <c r="AJ348" s="261">
        <f>AJ346+AJ347</f>
        <v>5278.6509916666619</v>
      </c>
    </row>
    <row r="352" spans="1:37" x14ac:dyDescent="0.2">
      <c r="F352" s="208" t="s">
        <v>887</v>
      </c>
      <c r="G352" s="264">
        <v>0.18</v>
      </c>
    </row>
    <row r="353" spans="5:8" x14ac:dyDescent="0.2">
      <c r="E353" s="208">
        <v>2025</v>
      </c>
      <c r="F353" s="261">
        <v>2107.396735833333</v>
      </c>
      <c r="G353" s="263">
        <v>2318.1364094166661</v>
      </c>
      <c r="H353" s="261">
        <v>-210.73967358333311</v>
      </c>
    </row>
    <row r="354" spans="5:8" x14ac:dyDescent="0.2">
      <c r="E354" s="208" t="s">
        <v>888</v>
      </c>
      <c r="F354" s="265">
        <v>6334.3827965277633</v>
      </c>
      <c r="G354" s="265">
        <v>6967.8210761805367</v>
      </c>
      <c r="H354" s="261">
        <v>-633.43827965277342</v>
      </c>
    </row>
  </sheetData>
  <mergeCells count="101">
    <mergeCell ref="AC322:AC333"/>
    <mergeCell ref="A337:C337"/>
    <mergeCell ref="H337:J337"/>
    <mergeCell ref="O337:Q337"/>
    <mergeCell ref="O274:O285"/>
    <mergeCell ref="V274:V285"/>
    <mergeCell ref="AC274:AC285"/>
    <mergeCell ref="AC286:AC297"/>
    <mergeCell ref="AC298:AC309"/>
    <mergeCell ref="AC310:AC321"/>
    <mergeCell ref="V238:V249"/>
    <mergeCell ref="AC238:AC249"/>
    <mergeCell ref="V250:V261"/>
    <mergeCell ref="AC250:AC261"/>
    <mergeCell ref="V262:V273"/>
    <mergeCell ref="AC262:AC273"/>
    <mergeCell ref="V202:V213"/>
    <mergeCell ref="AC202:AC213"/>
    <mergeCell ref="V214:V225"/>
    <mergeCell ref="AC214:AC225"/>
    <mergeCell ref="V226:V237"/>
    <mergeCell ref="AC226:AC237"/>
    <mergeCell ref="O178:O189"/>
    <mergeCell ref="V178:V189"/>
    <mergeCell ref="AC178:AC189"/>
    <mergeCell ref="O190:O201"/>
    <mergeCell ref="V190:V201"/>
    <mergeCell ref="AC190:AC201"/>
    <mergeCell ref="A154:A165"/>
    <mergeCell ref="H154:H165"/>
    <mergeCell ref="O154:O165"/>
    <mergeCell ref="V154:V165"/>
    <mergeCell ref="AC154:AC165"/>
    <mergeCell ref="O166:O177"/>
    <mergeCell ref="V166:V177"/>
    <mergeCell ref="AC166:AC177"/>
    <mergeCell ref="A130:A141"/>
    <mergeCell ref="H130:H141"/>
    <mergeCell ref="O130:O141"/>
    <mergeCell ref="V130:V141"/>
    <mergeCell ref="AC130:AC141"/>
    <mergeCell ref="A142:A153"/>
    <mergeCell ref="H142:H153"/>
    <mergeCell ref="O142:O153"/>
    <mergeCell ref="V142:V153"/>
    <mergeCell ref="AC142:AC153"/>
    <mergeCell ref="A106:A117"/>
    <mergeCell ref="H106:H117"/>
    <mergeCell ref="O106:O117"/>
    <mergeCell ref="V106:V117"/>
    <mergeCell ref="AC106:AC117"/>
    <mergeCell ref="A118:A129"/>
    <mergeCell ref="H118:H129"/>
    <mergeCell ref="O118:O129"/>
    <mergeCell ref="V118:V129"/>
    <mergeCell ref="AC118:AC129"/>
    <mergeCell ref="A82:A93"/>
    <mergeCell ref="H82:H93"/>
    <mergeCell ref="O82:O93"/>
    <mergeCell ref="V82:V93"/>
    <mergeCell ref="AC82:AC93"/>
    <mergeCell ref="A94:A105"/>
    <mergeCell ref="H94:H105"/>
    <mergeCell ref="O94:O105"/>
    <mergeCell ref="V94:V105"/>
    <mergeCell ref="AC94:AC105"/>
    <mergeCell ref="A58:A69"/>
    <mergeCell ref="H58:H69"/>
    <mergeCell ref="O58:O69"/>
    <mergeCell ref="V58:V69"/>
    <mergeCell ref="AC58:AC69"/>
    <mergeCell ref="A70:A81"/>
    <mergeCell ref="H70:H81"/>
    <mergeCell ref="O70:O81"/>
    <mergeCell ref="V70:V81"/>
    <mergeCell ref="AC70:AC81"/>
    <mergeCell ref="A34:A45"/>
    <mergeCell ref="H34:H45"/>
    <mergeCell ref="O34:O45"/>
    <mergeCell ref="V34:V45"/>
    <mergeCell ref="AC34:AC45"/>
    <mergeCell ref="A46:A57"/>
    <mergeCell ref="H46:H57"/>
    <mergeCell ref="O46:O57"/>
    <mergeCell ref="V46:V57"/>
    <mergeCell ref="AC46:AC57"/>
    <mergeCell ref="V10:V21"/>
    <mergeCell ref="AC10:AC21"/>
    <mergeCell ref="A22:A33"/>
    <mergeCell ref="H22:H33"/>
    <mergeCell ref="O22:O33"/>
    <mergeCell ref="V22:V33"/>
    <mergeCell ref="AC22:AC33"/>
    <mergeCell ref="A3:B3"/>
    <mergeCell ref="A6:F6"/>
    <mergeCell ref="H6:M6"/>
    <mergeCell ref="O6:T6"/>
    <mergeCell ref="A8:B8"/>
    <mergeCell ref="A10:A21"/>
    <mergeCell ref="H10:H21"/>
    <mergeCell ref="O10:O2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L354"/>
  <sheetViews>
    <sheetView topLeftCell="D1" workbookViewId="0">
      <selection activeCell="D341" sqref="D341"/>
    </sheetView>
  </sheetViews>
  <sheetFormatPr defaultRowHeight="12" x14ac:dyDescent="0.2"/>
  <cols>
    <col min="1" max="1" width="6.42578125" style="208" customWidth="1"/>
    <col min="2" max="2" width="20.7109375" style="208" customWidth="1"/>
    <col min="3" max="3" width="18.5703125" style="208" customWidth="1"/>
    <col min="4" max="4" width="11.7109375" style="208" customWidth="1"/>
    <col min="5" max="5" width="14.42578125" style="208" customWidth="1"/>
    <col min="6" max="6" width="13.42578125" style="208" customWidth="1"/>
    <col min="7" max="7" width="10.7109375" style="208" customWidth="1"/>
    <col min="8" max="8" width="9.85546875" style="208" bestFit="1" customWidth="1"/>
    <col min="9" max="9" width="10.7109375" style="208" customWidth="1"/>
    <col min="10" max="10" width="11.5703125" style="208" customWidth="1"/>
    <col min="11" max="11" width="12.85546875" style="208" customWidth="1"/>
    <col min="12" max="12" width="14.42578125" style="208" customWidth="1"/>
    <col min="13" max="13" width="12.85546875" style="208" customWidth="1"/>
    <col min="14" max="14" width="11.5703125" style="208" bestFit="1" customWidth="1"/>
    <col min="15" max="15" width="9.28515625" style="208" customWidth="1"/>
    <col min="16" max="16" width="20.7109375" style="208" customWidth="1"/>
    <col min="17" max="17" width="12.28515625" style="208" customWidth="1"/>
    <col min="18" max="18" width="12.85546875" style="208" customWidth="1"/>
    <col min="19" max="19" width="14.42578125" style="208" customWidth="1"/>
    <col min="20" max="20" width="12.85546875" style="208" customWidth="1"/>
    <col min="21" max="21" width="11.140625" style="208" customWidth="1"/>
    <col min="22" max="22" width="9.28515625" style="208" hidden="1" customWidth="1"/>
    <col min="23" max="23" width="20.7109375" style="208" hidden="1" customWidth="1"/>
    <col min="24" max="24" width="11.5703125" style="208" hidden="1" customWidth="1"/>
    <col min="25" max="25" width="12.85546875" style="208" hidden="1" customWidth="1"/>
    <col min="26" max="26" width="14.42578125" style="208" hidden="1" customWidth="1"/>
    <col min="27" max="27" width="12.85546875" style="208" hidden="1" customWidth="1"/>
    <col min="28" max="28" width="11.140625" style="208" hidden="1" customWidth="1"/>
    <col min="29" max="29" width="9.28515625" style="208" hidden="1" customWidth="1"/>
    <col min="30" max="30" width="20.7109375" style="208" hidden="1" customWidth="1"/>
    <col min="31" max="31" width="11.5703125" style="208" hidden="1" customWidth="1"/>
    <col min="32" max="32" width="12.85546875" style="208" hidden="1" customWidth="1"/>
    <col min="33" max="33" width="14.42578125" style="208" hidden="1" customWidth="1"/>
    <col min="34" max="34" width="12.85546875" style="208" hidden="1" customWidth="1"/>
    <col min="35" max="35" width="11.140625" style="208" hidden="1" customWidth="1"/>
    <col min="36" max="36" width="9.140625" style="208"/>
    <col min="37" max="37" width="16.7109375" style="208" bestFit="1" customWidth="1"/>
    <col min="38" max="16384" width="9.140625" style="208"/>
  </cols>
  <sheetData>
    <row r="1" spans="1:38" x14ac:dyDescent="0.2">
      <c r="D1" s="208" t="s">
        <v>889</v>
      </c>
    </row>
    <row r="3" spans="1:38" s="209" customFormat="1" x14ac:dyDescent="0.2">
      <c r="B3" s="209" t="s">
        <v>894</v>
      </c>
      <c r="H3" s="209" t="s">
        <v>895</v>
      </c>
      <c r="P3" s="209" t="str">
        <f>H3</f>
        <v>Расчет процентов по займу. Тепловые сети котельной №3</v>
      </c>
    </row>
    <row r="4" spans="1:38" ht="18" customHeight="1" x14ac:dyDescent="0.2">
      <c r="A4" s="210" t="s">
        <v>860</v>
      </c>
      <c r="B4" s="266">
        <f>'[1]План меропр_3'!I43</f>
        <v>2025</v>
      </c>
      <c r="C4" s="208" t="s">
        <v>861</v>
      </c>
      <c r="D4" s="212"/>
      <c r="E4" s="213"/>
      <c r="F4" s="210"/>
      <c r="H4" s="210" t="s">
        <v>862</v>
      </c>
      <c r="I4" s="266">
        <f>'[1]План меропр_3'!I43</f>
        <v>2025</v>
      </c>
      <c r="J4" s="208" t="s">
        <v>479</v>
      </c>
      <c r="O4" s="210" t="s">
        <v>863</v>
      </c>
      <c r="P4" s="210">
        <f>'[1]План меропр_3'!I46</f>
        <v>2027</v>
      </c>
      <c r="Q4" s="208" t="str">
        <f>J4</f>
        <v>тепловые сети</v>
      </c>
      <c r="V4" s="210" t="str">
        <f>'[2]ИНВЕСТ '!B16</f>
        <v>5 этап (рекоснрукция оборудования БМК по истечении СПИ)</v>
      </c>
      <c r="X4" s="210"/>
      <c r="AC4" s="210" t="str">
        <f>'[2]ИНВЕСТ '!B17</f>
        <v>6 этап (рекоснрукция тепловых сетей и сетей гвс в связи с истечением СПИ)</v>
      </c>
      <c r="AE4" s="210"/>
      <c r="AK4" s="213" t="b">
        <f>Q7+J7+C7='[1]План меропр_3'!L40</f>
        <v>0</v>
      </c>
      <c r="AL4" s="208" t="b">
        <f>AK4='[3]Мероприятия упрощенно'!M8</f>
        <v>0</v>
      </c>
    </row>
    <row r="5" spans="1:38" x14ac:dyDescent="0.2">
      <c r="A5" s="210"/>
      <c r="E5" s="213"/>
      <c r="F5" s="210"/>
      <c r="G5" s="208" t="s">
        <v>864</v>
      </c>
      <c r="H5" s="210"/>
      <c r="N5" s="208" t="str">
        <f>G5</f>
        <v>тыс. руб.</v>
      </c>
      <c r="P5" s="210"/>
      <c r="U5" s="208" t="str">
        <f>N5</f>
        <v>тыс. руб.</v>
      </c>
      <c r="X5" s="210"/>
      <c r="AE5" s="210"/>
      <c r="AK5" s="213"/>
    </row>
    <row r="6" spans="1:38" x14ac:dyDescent="0.2">
      <c r="A6" s="516" t="s">
        <v>865</v>
      </c>
      <c r="B6" s="517"/>
      <c r="C6" s="517"/>
      <c r="D6" s="517"/>
      <c r="E6" s="517"/>
      <c r="F6" s="518"/>
      <c r="G6" s="215" t="s">
        <v>866</v>
      </c>
      <c r="H6" s="516" t="s">
        <v>865</v>
      </c>
      <c r="I6" s="517"/>
      <c r="J6" s="517"/>
      <c r="K6" s="517"/>
      <c r="L6" s="517"/>
      <c r="M6" s="518"/>
      <c r="N6" s="215" t="str">
        <f>G6</f>
        <v xml:space="preserve">% </v>
      </c>
      <c r="O6" s="516" t="s">
        <v>865</v>
      </c>
      <c r="P6" s="517"/>
      <c r="Q6" s="517"/>
      <c r="R6" s="517"/>
      <c r="S6" s="517"/>
      <c r="T6" s="518"/>
      <c r="U6" s="215" t="str">
        <f>N6</f>
        <v xml:space="preserve">% </v>
      </c>
      <c r="V6" s="216"/>
      <c r="W6" s="216"/>
      <c r="X6" s="216"/>
      <c r="Y6" s="216"/>
      <c r="Z6" s="216"/>
      <c r="AA6" s="216"/>
      <c r="AB6" s="216" t="str">
        <f>U6</f>
        <v xml:space="preserve">% </v>
      </c>
      <c r="AC6" s="216"/>
      <c r="AD6" s="216"/>
      <c r="AE6" s="216"/>
      <c r="AF6" s="216"/>
      <c r="AG6" s="216"/>
      <c r="AH6" s="216"/>
      <c r="AI6" s="216" t="str">
        <f>AB6</f>
        <v xml:space="preserve">% </v>
      </c>
      <c r="AK6" s="217" t="s">
        <v>867</v>
      </c>
    </row>
    <row r="7" spans="1:38" x14ac:dyDescent="0.2">
      <c r="A7" s="221"/>
      <c r="B7" s="216" t="s">
        <v>868</v>
      </c>
      <c r="C7" s="218">
        <f>'№2 ИП ТС'!R45+'№2 ИП ТС'!R46+'№2 ИП ТС'!R47+'№2 ИП ТС'!R48+'№2 ИП ТС'!R49+'№2 ИП ТС'!R50</f>
        <v>24441.893999999997</v>
      </c>
      <c r="D7" s="219">
        <f>16%+4%</f>
        <v>0.2</v>
      </c>
      <c r="E7" s="220" t="s">
        <v>869</v>
      </c>
      <c r="F7" s="220"/>
      <c r="G7" s="220"/>
      <c r="H7" s="221"/>
      <c r="I7" s="216" t="s">
        <v>868</v>
      </c>
      <c r="J7" s="222">
        <f>'№2 ИП ТС'!R51+'№2 ИП ТС'!R52+'№2 ИП ТС'!R53</f>
        <v>2136.4639999999999</v>
      </c>
      <c r="K7" s="219">
        <f>D7</f>
        <v>0.2</v>
      </c>
      <c r="L7" s="220" t="s">
        <v>869</v>
      </c>
      <c r="M7" s="220"/>
      <c r="N7" s="220"/>
      <c r="O7" s="221"/>
      <c r="P7" s="216" t="s">
        <v>868</v>
      </c>
      <c r="Q7" s="222">
        <f>'№2 ИП ТС'!R88+'№2 ИП ТС'!R89+'№2 ИП ТС'!R90+'№2 ИП ТС'!R91+'№2 ИП ТС'!R92+'№2 ИП ТС'!R93+'№2 ИП ТС'!R94+'№2 ИП ТС'!R95+'№2 ИП ТС'!R96+'№2 ИП ТС'!R97+'№2 ИП ТС'!R98+'№2 ИП ТС'!R99+'№2 ИП ТС'!R100+'№2 ИП ТС'!R101+'№2 ИП ТС'!R102+'№2 ИП ТС'!R103</f>
        <v>8624.0109999999986</v>
      </c>
      <c r="R7" s="219">
        <f>K7</f>
        <v>0.2</v>
      </c>
      <c r="S7" s="220" t="s">
        <v>869</v>
      </c>
      <c r="T7" s="220"/>
      <c r="U7" s="220"/>
      <c r="V7" s="223"/>
      <c r="W7" s="224" t="s">
        <v>868</v>
      </c>
      <c r="X7" s="225">
        <f>'[2]ИНВЕСТ '!T11*1.2</f>
        <v>0</v>
      </c>
      <c r="Y7" s="226">
        <f>R7</f>
        <v>0.2</v>
      </c>
      <c r="Z7" s="227" t="s">
        <v>869</v>
      </c>
      <c r="AA7" s="227"/>
      <c r="AB7" s="227"/>
      <c r="AC7" s="223"/>
      <c r="AD7" s="224" t="s">
        <v>868</v>
      </c>
      <c r="AE7" s="225">
        <f>'[2]ИНВЕСТ '!W11*1.2</f>
        <v>0</v>
      </c>
      <c r="AF7" s="226">
        <f>Y7</f>
        <v>0.2</v>
      </c>
      <c r="AG7" s="227" t="s">
        <v>869</v>
      </c>
      <c r="AH7" s="227"/>
      <c r="AI7" s="227"/>
    </row>
    <row r="8" spans="1:38" x14ac:dyDescent="0.2">
      <c r="A8" s="230"/>
      <c r="B8" s="216" t="s">
        <v>872</v>
      </c>
      <c r="C8" s="231">
        <v>0</v>
      </c>
      <c r="D8" s="229">
        <f>12*10</f>
        <v>120</v>
      </c>
      <c r="E8" s="220" t="s">
        <v>871</v>
      </c>
      <c r="F8" s="220"/>
      <c r="G8" s="220"/>
      <c r="H8" s="230"/>
      <c r="I8" s="216" t="s">
        <v>872</v>
      </c>
      <c r="J8" s="231">
        <v>0</v>
      </c>
      <c r="K8" s="232">
        <f>D8</f>
        <v>120</v>
      </c>
      <c r="L8" s="220" t="s">
        <v>871</v>
      </c>
      <c r="M8" s="220"/>
      <c r="N8" s="220"/>
      <c r="O8" s="230"/>
      <c r="P8" s="216" t="s">
        <v>872</v>
      </c>
      <c r="Q8" s="231">
        <v>0</v>
      </c>
      <c r="R8" s="233">
        <v>120</v>
      </c>
      <c r="S8" s="220" t="s">
        <v>871</v>
      </c>
      <c r="T8" s="220"/>
      <c r="U8" s="220"/>
      <c r="V8" s="230"/>
      <c r="W8" s="216" t="s">
        <v>872</v>
      </c>
      <c r="X8" s="231">
        <v>0</v>
      </c>
      <c r="Y8" s="233">
        <v>120</v>
      </c>
      <c r="Z8" s="220" t="s">
        <v>871</v>
      </c>
      <c r="AA8" s="220"/>
      <c r="AB8" s="220"/>
      <c r="AC8" s="230"/>
      <c r="AD8" s="216" t="s">
        <v>872</v>
      </c>
      <c r="AE8" s="231">
        <v>0</v>
      </c>
      <c r="AF8" s="233">
        <v>120</v>
      </c>
      <c r="AG8" s="220" t="s">
        <v>871</v>
      </c>
      <c r="AH8" s="220"/>
      <c r="AI8" s="220"/>
    </row>
    <row r="9" spans="1:38" x14ac:dyDescent="0.2">
      <c r="A9" s="234" t="s">
        <v>873</v>
      </c>
      <c r="B9" s="220" t="s">
        <v>874</v>
      </c>
      <c r="C9" s="220" t="s">
        <v>875</v>
      </c>
      <c r="D9" s="220" t="s">
        <v>13</v>
      </c>
      <c r="E9" s="220" t="s">
        <v>876</v>
      </c>
      <c r="F9" s="220" t="s">
        <v>877</v>
      </c>
      <c r="G9" s="220"/>
      <c r="H9" s="234" t="s">
        <v>873</v>
      </c>
      <c r="I9" s="220" t="s">
        <v>874</v>
      </c>
      <c r="J9" s="220" t="s">
        <v>875</v>
      </c>
      <c r="K9" s="220" t="s">
        <v>13</v>
      </c>
      <c r="L9" s="220" t="s">
        <v>878</v>
      </c>
      <c r="M9" s="220" t="s">
        <v>877</v>
      </c>
      <c r="N9" s="220"/>
      <c r="O9" s="234" t="s">
        <v>873</v>
      </c>
      <c r="P9" s="220" t="s">
        <v>874</v>
      </c>
      <c r="Q9" s="220" t="s">
        <v>875</v>
      </c>
      <c r="R9" s="220" t="s">
        <v>13</v>
      </c>
      <c r="S9" s="220" t="s">
        <v>878</v>
      </c>
      <c r="T9" s="220" t="s">
        <v>877</v>
      </c>
      <c r="U9" s="220"/>
      <c r="V9" s="234" t="s">
        <v>873</v>
      </c>
      <c r="W9" s="220" t="s">
        <v>874</v>
      </c>
      <c r="X9" s="220" t="s">
        <v>875</v>
      </c>
      <c r="Y9" s="220" t="s">
        <v>13</v>
      </c>
      <c r="Z9" s="220" t="s">
        <v>878</v>
      </c>
      <c r="AA9" s="220" t="s">
        <v>877</v>
      </c>
      <c r="AB9" s="220"/>
      <c r="AC9" s="234" t="s">
        <v>873</v>
      </c>
      <c r="AD9" s="220" t="s">
        <v>874</v>
      </c>
      <c r="AE9" s="220" t="s">
        <v>875</v>
      </c>
      <c r="AF9" s="220" t="s">
        <v>13</v>
      </c>
      <c r="AG9" s="220" t="s">
        <v>878</v>
      </c>
      <c r="AH9" s="220" t="s">
        <v>877</v>
      </c>
      <c r="AI9" s="220"/>
      <c r="AK9" s="208">
        <f>G9+N9+U9</f>
        <v>0</v>
      </c>
    </row>
    <row r="10" spans="1:38" hidden="1" x14ac:dyDescent="0.2">
      <c r="A10" s="512">
        <v>2022</v>
      </c>
      <c r="B10" s="234" t="s">
        <v>225</v>
      </c>
      <c r="C10" s="235"/>
      <c r="D10" s="235"/>
      <c r="E10" s="235"/>
      <c r="F10" s="236">
        <f>D10+E10</f>
        <v>0</v>
      </c>
      <c r="G10" s="237"/>
      <c r="H10" s="513">
        <f>A10</f>
        <v>2022</v>
      </c>
      <c r="I10" s="234" t="s">
        <v>225</v>
      </c>
      <c r="J10" s="235"/>
      <c r="K10" s="235"/>
      <c r="L10" s="235"/>
      <c r="M10" s="236"/>
      <c r="N10" s="236"/>
      <c r="O10" s="512">
        <f>H10</f>
        <v>2022</v>
      </c>
      <c r="P10" s="234" t="s">
        <v>225</v>
      </c>
      <c r="Q10" s="235"/>
      <c r="R10" s="235"/>
      <c r="S10" s="235"/>
      <c r="T10" s="236"/>
      <c r="U10" s="236"/>
      <c r="V10" s="512">
        <v>2021</v>
      </c>
      <c r="W10" s="234" t="s">
        <v>225</v>
      </c>
      <c r="X10" s="235"/>
      <c r="Y10" s="235"/>
      <c r="Z10" s="235"/>
      <c r="AA10" s="236"/>
      <c r="AB10" s="236"/>
      <c r="AC10" s="512">
        <v>2021</v>
      </c>
      <c r="AD10" s="234" t="s">
        <v>225</v>
      </c>
      <c r="AE10" s="235"/>
      <c r="AF10" s="235"/>
      <c r="AG10" s="235"/>
      <c r="AH10" s="236"/>
      <c r="AI10" s="236"/>
    </row>
    <row r="11" spans="1:38" hidden="1" x14ac:dyDescent="0.2">
      <c r="A11" s="512"/>
      <c r="B11" s="234" t="s">
        <v>226</v>
      </c>
      <c r="C11" s="235"/>
      <c r="D11" s="235"/>
      <c r="E11" s="235"/>
      <c r="F11" s="236">
        <f>D11+E11</f>
        <v>0</v>
      </c>
      <c r="G11" s="238"/>
      <c r="H11" s="514"/>
      <c r="I11" s="234" t="s">
        <v>226</v>
      </c>
      <c r="J11" s="235"/>
      <c r="K11" s="235"/>
      <c r="L11" s="235"/>
      <c r="M11" s="236"/>
      <c r="N11" s="236"/>
      <c r="O11" s="512"/>
      <c r="P11" s="234" t="s">
        <v>226</v>
      </c>
      <c r="Q11" s="235"/>
      <c r="R11" s="235"/>
      <c r="S11" s="235"/>
      <c r="T11" s="236"/>
      <c r="U11" s="236"/>
      <c r="V11" s="512"/>
      <c r="W11" s="234" t="s">
        <v>226</v>
      </c>
      <c r="X11" s="235"/>
      <c r="Y11" s="235"/>
      <c r="Z11" s="235"/>
      <c r="AA11" s="236"/>
      <c r="AB11" s="236"/>
      <c r="AC11" s="512"/>
      <c r="AD11" s="234" t="s">
        <v>226</v>
      </c>
      <c r="AE11" s="235"/>
      <c r="AF11" s="235"/>
      <c r="AG11" s="235"/>
      <c r="AH11" s="236"/>
      <c r="AI11" s="236"/>
    </row>
    <row r="12" spans="1:38" hidden="1" x14ac:dyDescent="0.2">
      <c r="A12" s="512"/>
      <c r="B12" s="234" t="s">
        <v>227</v>
      </c>
      <c r="C12" s="235"/>
      <c r="D12" s="235"/>
      <c r="E12" s="235"/>
      <c r="F12" s="236">
        <f t="shared" ref="F12:F75" si="0">D12+E12</f>
        <v>0</v>
      </c>
      <c r="G12" s="238"/>
      <c r="H12" s="514"/>
      <c r="I12" s="234" t="s">
        <v>227</v>
      </c>
      <c r="J12" s="235"/>
      <c r="K12" s="235"/>
      <c r="L12" s="235"/>
      <c r="M12" s="236"/>
      <c r="N12" s="236"/>
      <c r="O12" s="512"/>
      <c r="P12" s="234" t="s">
        <v>227</v>
      </c>
      <c r="Q12" s="235"/>
      <c r="R12" s="235"/>
      <c r="S12" s="235"/>
      <c r="T12" s="236"/>
      <c r="U12" s="236"/>
      <c r="V12" s="512"/>
      <c r="W12" s="234" t="s">
        <v>227</v>
      </c>
      <c r="X12" s="235"/>
      <c r="Y12" s="235"/>
      <c r="Z12" s="235"/>
      <c r="AA12" s="236"/>
      <c r="AB12" s="236"/>
      <c r="AC12" s="512"/>
      <c r="AD12" s="234" t="s">
        <v>227</v>
      </c>
      <c r="AE12" s="235"/>
      <c r="AF12" s="235"/>
      <c r="AG12" s="235"/>
      <c r="AH12" s="236"/>
      <c r="AI12" s="236"/>
    </row>
    <row r="13" spans="1:38" hidden="1" x14ac:dyDescent="0.2">
      <c r="A13" s="512"/>
      <c r="B13" s="234" t="s">
        <v>228</v>
      </c>
      <c r="C13" s="235"/>
      <c r="D13" s="235"/>
      <c r="E13" s="235"/>
      <c r="F13" s="236">
        <f t="shared" si="0"/>
        <v>0</v>
      </c>
      <c r="G13" s="238"/>
      <c r="H13" s="514"/>
      <c r="I13" s="234" t="s">
        <v>228</v>
      </c>
      <c r="J13" s="235"/>
      <c r="K13" s="235"/>
      <c r="L13" s="235"/>
      <c r="M13" s="236"/>
      <c r="N13" s="236"/>
      <c r="O13" s="512"/>
      <c r="P13" s="234" t="s">
        <v>228</v>
      </c>
      <c r="Q13" s="235"/>
      <c r="R13" s="235"/>
      <c r="S13" s="235"/>
      <c r="T13" s="236"/>
      <c r="U13" s="236"/>
      <c r="V13" s="512"/>
      <c r="W13" s="234" t="s">
        <v>228</v>
      </c>
      <c r="X13" s="235"/>
      <c r="Y13" s="235"/>
      <c r="Z13" s="235"/>
      <c r="AA13" s="236"/>
      <c r="AB13" s="236"/>
      <c r="AC13" s="512"/>
      <c r="AD13" s="234" t="s">
        <v>228</v>
      </c>
      <c r="AE13" s="235"/>
      <c r="AF13" s="235"/>
      <c r="AG13" s="235"/>
      <c r="AH13" s="236"/>
      <c r="AI13" s="236"/>
    </row>
    <row r="14" spans="1:38" hidden="1" x14ac:dyDescent="0.2">
      <c r="A14" s="512"/>
      <c r="B14" s="234" t="s">
        <v>229</v>
      </c>
      <c r="C14" s="235"/>
      <c r="D14" s="235"/>
      <c r="E14" s="235"/>
      <c r="F14" s="236">
        <f t="shared" si="0"/>
        <v>0</v>
      </c>
      <c r="G14" s="238"/>
      <c r="H14" s="514"/>
      <c r="I14" s="234" t="s">
        <v>229</v>
      </c>
      <c r="J14" s="235"/>
      <c r="K14" s="235"/>
      <c r="L14" s="235"/>
      <c r="M14" s="236"/>
      <c r="N14" s="236"/>
      <c r="O14" s="512"/>
      <c r="P14" s="234" t="s">
        <v>229</v>
      </c>
      <c r="Q14" s="235"/>
      <c r="R14" s="235"/>
      <c r="S14" s="235"/>
      <c r="T14" s="236"/>
      <c r="U14" s="236"/>
      <c r="V14" s="512"/>
      <c r="W14" s="234" t="s">
        <v>229</v>
      </c>
      <c r="X14" s="235"/>
      <c r="Y14" s="235"/>
      <c r="Z14" s="235"/>
      <c r="AA14" s="236"/>
      <c r="AB14" s="236"/>
      <c r="AC14" s="512"/>
      <c r="AD14" s="234" t="s">
        <v>229</v>
      </c>
      <c r="AE14" s="235"/>
      <c r="AF14" s="235"/>
      <c r="AG14" s="235"/>
      <c r="AH14" s="236"/>
      <c r="AI14" s="236"/>
    </row>
    <row r="15" spans="1:38" hidden="1" x14ac:dyDescent="0.2">
      <c r="A15" s="512"/>
      <c r="B15" s="234" t="s">
        <v>230</v>
      </c>
      <c r="C15" s="235"/>
      <c r="D15" s="235"/>
      <c r="E15" s="235"/>
      <c r="F15" s="236">
        <f t="shared" si="0"/>
        <v>0</v>
      </c>
      <c r="G15" s="238"/>
      <c r="H15" s="514"/>
      <c r="I15" s="234" t="s">
        <v>230</v>
      </c>
      <c r="J15" s="235"/>
      <c r="K15" s="235"/>
      <c r="L15" s="235"/>
      <c r="M15" s="236"/>
      <c r="N15" s="236"/>
      <c r="O15" s="512"/>
      <c r="P15" s="234" t="s">
        <v>230</v>
      </c>
      <c r="Q15" s="235"/>
      <c r="R15" s="235"/>
      <c r="S15" s="235"/>
      <c r="T15" s="236"/>
      <c r="U15" s="236"/>
      <c r="V15" s="512"/>
      <c r="W15" s="234" t="s">
        <v>230</v>
      </c>
      <c r="X15" s="235"/>
      <c r="Y15" s="235"/>
      <c r="Z15" s="235"/>
      <c r="AA15" s="236"/>
      <c r="AB15" s="236"/>
      <c r="AC15" s="512"/>
      <c r="AD15" s="234" t="s">
        <v>230</v>
      </c>
      <c r="AE15" s="235"/>
      <c r="AF15" s="235"/>
      <c r="AG15" s="235"/>
      <c r="AH15" s="236"/>
      <c r="AI15" s="236"/>
    </row>
    <row r="16" spans="1:38" hidden="1" x14ac:dyDescent="0.2">
      <c r="A16" s="512"/>
      <c r="B16" s="234" t="s">
        <v>231</v>
      </c>
      <c r="C16" s="235"/>
      <c r="D16" s="235"/>
      <c r="E16" s="235"/>
      <c r="F16" s="236">
        <f t="shared" si="0"/>
        <v>0</v>
      </c>
      <c r="G16" s="238"/>
      <c r="H16" s="514"/>
      <c r="I16" s="234" t="s">
        <v>231</v>
      </c>
      <c r="J16" s="235"/>
      <c r="K16" s="235"/>
      <c r="L16" s="235"/>
      <c r="M16" s="236"/>
      <c r="N16" s="236"/>
      <c r="O16" s="512"/>
      <c r="P16" s="234" t="s">
        <v>231</v>
      </c>
      <c r="Q16" s="235"/>
      <c r="R16" s="235"/>
      <c r="S16" s="235"/>
      <c r="T16" s="236"/>
      <c r="U16" s="236"/>
      <c r="V16" s="512"/>
      <c r="W16" s="234" t="s">
        <v>231</v>
      </c>
      <c r="X16" s="235"/>
      <c r="Y16" s="235"/>
      <c r="Z16" s="235"/>
      <c r="AA16" s="236"/>
      <c r="AB16" s="236"/>
      <c r="AC16" s="512"/>
      <c r="AD16" s="234" t="s">
        <v>231</v>
      </c>
      <c r="AE16" s="235"/>
      <c r="AF16" s="235"/>
      <c r="AG16" s="235"/>
      <c r="AH16" s="236"/>
      <c r="AI16" s="236"/>
    </row>
    <row r="17" spans="1:37" x14ac:dyDescent="0.2">
      <c r="A17" s="512"/>
      <c r="B17" s="234" t="s">
        <v>232</v>
      </c>
      <c r="C17" s="235"/>
      <c r="D17" s="235"/>
      <c r="E17" s="235"/>
      <c r="F17" s="236">
        <f t="shared" si="0"/>
        <v>0</v>
      </c>
      <c r="G17" s="238"/>
      <c r="H17" s="514"/>
      <c r="I17" s="234" t="s">
        <v>232</v>
      </c>
      <c r="J17" s="235"/>
      <c r="K17" s="235"/>
      <c r="L17" s="235"/>
      <c r="M17" s="236"/>
      <c r="N17" s="236"/>
      <c r="O17" s="512"/>
      <c r="P17" s="234" t="s">
        <v>232</v>
      </c>
      <c r="Q17" s="235"/>
      <c r="R17" s="235"/>
      <c r="S17" s="235"/>
      <c r="T17" s="236"/>
      <c r="U17" s="236"/>
      <c r="V17" s="512"/>
      <c r="W17" s="234" t="s">
        <v>232</v>
      </c>
      <c r="X17" s="235"/>
      <c r="Y17" s="235"/>
      <c r="Z17" s="235"/>
      <c r="AA17" s="236"/>
      <c r="AB17" s="236"/>
      <c r="AC17" s="512"/>
      <c r="AD17" s="234" t="s">
        <v>232</v>
      </c>
      <c r="AE17" s="235"/>
      <c r="AF17" s="235"/>
      <c r="AG17" s="235"/>
      <c r="AH17" s="236"/>
      <c r="AI17" s="236"/>
    </row>
    <row r="18" spans="1:37" x14ac:dyDescent="0.2">
      <c r="A18" s="512"/>
      <c r="B18" s="234" t="s">
        <v>233</v>
      </c>
      <c r="C18" s="235"/>
      <c r="D18" s="235"/>
      <c r="E18" s="235"/>
      <c r="F18" s="236">
        <f t="shared" si="0"/>
        <v>0</v>
      </c>
      <c r="G18" s="238"/>
      <c r="H18" s="514"/>
      <c r="I18" s="234" t="s">
        <v>233</v>
      </c>
      <c r="J18" s="235"/>
      <c r="K18" s="235"/>
      <c r="L18" s="235"/>
      <c r="M18" s="236"/>
      <c r="N18" s="236"/>
      <c r="O18" s="512"/>
      <c r="P18" s="234" t="s">
        <v>233</v>
      </c>
      <c r="Q18" s="235"/>
      <c r="R18" s="235"/>
      <c r="S18" s="235"/>
      <c r="T18" s="236"/>
      <c r="U18" s="236"/>
      <c r="V18" s="512"/>
      <c r="W18" s="234" t="s">
        <v>233</v>
      </c>
      <c r="X18" s="235"/>
      <c r="Y18" s="235"/>
      <c r="Z18" s="235"/>
      <c r="AA18" s="236"/>
      <c r="AB18" s="236"/>
      <c r="AC18" s="512"/>
      <c r="AD18" s="234" t="s">
        <v>233</v>
      </c>
      <c r="AE18" s="235"/>
      <c r="AF18" s="235"/>
      <c r="AG18" s="235"/>
      <c r="AH18" s="236"/>
      <c r="AI18" s="236"/>
    </row>
    <row r="19" spans="1:37" x14ac:dyDescent="0.2">
      <c r="A19" s="512"/>
      <c r="B19" s="234" t="s">
        <v>234</v>
      </c>
      <c r="C19" s="235"/>
      <c r="D19" s="235"/>
      <c r="E19" s="235"/>
      <c r="F19" s="236">
        <f t="shared" si="0"/>
        <v>0</v>
      </c>
      <c r="G19" s="238"/>
      <c r="H19" s="514"/>
      <c r="I19" s="234" t="s">
        <v>234</v>
      </c>
      <c r="J19" s="235"/>
      <c r="K19" s="235"/>
      <c r="L19" s="235"/>
      <c r="M19" s="236"/>
      <c r="N19" s="236"/>
      <c r="O19" s="512"/>
      <c r="P19" s="234" t="s">
        <v>234</v>
      </c>
      <c r="Q19" s="235"/>
      <c r="R19" s="235"/>
      <c r="S19" s="235"/>
      <c r="T19" s="236"/>
      <c r="U19" s="236"/>
      <c r="V19" s="512"/>
      <c r="W19" s="234" t="s">
        <v>234</v>
      </c>
      <c r="X19" s="235"/>
      <c r="Y19" s="235"/>
      <c r="Z19" s="235"/>
      <c r="AA19" s="236"/>
      <c r="AB19" s="236"/>
      <c r="AC19" s="512"/>
      <c r="AD19" s="234" t="s">
        <v>234</v>
      </c>
      <c r="AE19" s="235"/>
      <c r="AF19" s="235"/>
      <c r="AG19" s="235"/>
      <c r="AH19" s="236"/>
      <c r="AI19" s="236"/>
    </row>
    <row r="20" spans="1:37" x14ac:dyDescent="0.2">
      <c r="A20" s="512"/>
      <c r="B20" s="234" t="s">
        <v>235</v>
      </c>
      <c r="C20" s="235"/>
      <c r="D20" s="235"/>
      <c r="E20" s="235"/>
      <c r="F20" s="236">
        <f t="shared" si="0"/>
        <v>0</v>
      </c>
      <c r="G20" s="238"/>
      <c r="H20" s="514"/>
      <c r="I20" s="234" t="s">
        <v>235</v>
      </c>
      <c r="J20" s="235"/>
      <c r="K20" s="235"/>
      <c r="L20" s="235"/>
      <c r="M20" s="236"/>
      <c r="N20" s="236"/>
      <c r="O20" s="512"/>
      <c r="P20" s="234" t="s">
        <v>235</v>
      </c>
      <c r="Q20" s="235"/>
      <c r="R20" s="235"/>
      <c r="S20" s="235"/>
      <c r="T20" s="236"/>
      <c r="U20" s="236"/>
      <c r="V20" s="512"/>
      <c r="W20" s="234" t="s">
        <v>235</v>
      </c>
      <c r="X20" s="235"/>
      <c r="Y20" s="235"/>
      <c r="Z20" s="235"/>
      <c r="AA20" s="236"/>
      <c r="AB20" s="236"/>
      <c r="AC20" s="512"/>
      <c r="AD20" s="234" t="s">
        <v>235</v>
      </c>
      <c r="AE20" s="235"/>
      <c r="AF20" s="235"/>
      <c r="AG20" s="235"/>
      <c r="AH20" s="236"/>
      <c r="AI20" s="236"/>
    </row>
    <row r="21" spans="1:37" x14ac:dyDescent="0.2">
      <c r="A21" s="512"/>
      <c r="B21" s="234" t="s">
        <v>236</v>
      </c>
      <c r="C21" s="235"/>
      <c r="D21" s="235"/>
      <c r="E21" s="235"/>
      <c r="F21" s="236">
        <f t="shared" si="0"/>
        <v>0</v>
      </c>
      <c r="G21" s="239">
        <f>SUM(D10:D21)</f>
        <v>0</v>
      </c>
      <c r="H21" s="515"/>
      <c r="I21" s="234" t="s">
        <v>236</v>
      </c>
      <c r="J21" s="235"/>
      <c r="K21" s="235"/>
      <c r="L21" s="235"/>
      <c r="M21" s="236"/>
      <c r="N21" s="236"/>
      <c r="O21" s="512"/>
      <c r="P21" s="234" t="s">
        <v>236</v>
      </c>
      <c r="Q21" s="235"/>
      <c r="R21" s="235"/>
      <c r="S21" s="235"/>
      <c r="T21" s="236"/>
      <c r="U21" s="236"/>
      <c r="V21" s="512"/>
      <c r="W21" s="234" t="s">
        <v>236</v>
      </c>
      <c r="X21" s="235"/>
      <c r="Y21" s="235"/>
      <c r="Z21" s="235"/>
      <c r="AA21" s="236"/>
      <c r="AB21" s="236"/>
      <c r="AC21" s="512"/>
      <c r="AD21" s="234" t="s">
        <v>236</v>
      </c>
      <c r="AE21" s="235"/>
      <c r="AF21" s="235"/>
      <c r="AG21" s="235"/>
      <c r="AH21" s="236"/>
      <c r="AI21" s="236"/>
      <c r="AJ21" s="208">
        <f>A10</f>
        <v>2022</v>
      </c>
      <c r="AK21" s="240">
        <f>G21+N21+U21</f>
        <v>0</v>
      </c>
    </row>
    <row r="22" spans="1:37" x14ac:dyDescent="0.2">
      <c r="A22" s="512">
        <v>2023</v>
      </c>
      <c r="B22" s="234" t="s">
        <v>225</v>
      </c>
      <c r="C22" s="235"/>
      <c r="D22" s="235"/>
      <c r="E22" s="235"/>
      <c r="F22" s="236">
        <f t="shared" si="0"/>
        <v>0</v>
      </c>
      <c r="G22" s="237"/>
      <c r="H22" s="513">
        <f>H10+1</f>
        <v>2023</v>
      </c>
      <c r="I22" s="234" t="s">
        <v>225</v>
      </c>
      <c r="J22" s="235"/>
      <c r="K22" s="235"/>
      <c r="L22" s="235"/>
      <c r="M22" s="236">
        <f>K22+L22</f>
        <v>0</v>
      </c>
      <c r="N22" s="236"/>
      <c r="O22" s="512">
        <f>O10+1</f>
        <v>2023</v>
      </c>
      <c r="P22" s="234" t="s">
        <v>225</v>
      </c>
      <c r="Q22" s="235"/>
      <c r="R22" s="235"/>
      <c r="S22" s="235"/>
      <c r="T22" s="236"/>
      <c r="U22" s="236"/>
      <c r="V22" s="512">
        <f>V10+1</f>
        <v>2022</v>
      </c>
      <c r="W22" s="234" t="s">
        <v>225</v>
      </c>
      <c r="X22" s="235"/>
      <c r="Y22" s="235"/>
      <c r="Z22" s="235"/>
      <c r="AA22" s="236"/>
      <c r="AB22" s="236"/>
      <c r="AC22" s="512">
        <f>AC10+1</f>
        <v>2022</v>
      </c>
      <c r="AD22" s="234" t="s">
        <v>225</v>
      </c>
      <c r="AE22" s="235"/>
      <c r="AF22" s="235"/>
      <c r="AG22" s="235"/>
      <c r="AH22" s="236"/>
      <c r="AI22" s="236"/>
      <c r="AK22" s="240"/>
    </row>
    <row r="23" spans="1:37" x14ac:dyDescent="0.2">
      <c r="A23" s="512"/>
      <c r="B23" s="234" t="s">
        <v>226</v>
      </c>
      <c r="C23" s="235"/>
      <c r="D23" s="235"/>
      <c r="E23" s="235"/>
      <c r="F23" s="236">
        <f t="shared" si="0"/>
        <v>0</v>
      </c>
      <c r="G23" s="238"/>
      <c r="H23" s="514"/>
      <c r="I23" s="234" t="s">
        <v>226</v>
      </c>
      <c r="J23" s="235"/>
      <c r="K23" s="235"/>
      <c r="L23" s="235"/>
      <c r="M23" s="236">
        <f t="shared" ref="M23:M86" si="1">K23+L23</f>
        <v>0</v>
      </c>
      <c r="N23" s="236"/>
      <c r="O23" s="512"/>
      <c r="P23" s="234" t="s">
        <v>226</v>
      </c>
      <c r="Q23" s="235"/>
      <c r="R23" s="235"/>
      <c r="S23" s="235"/>
      <c r="T23" s="236"/>
      <c r="U23" s="236"/>
      <c r="V23" s="512"/>
      <c r="W23" s="234" t="s">
        <v>226</v>
      </c>
      <c r="X23" s="235"/>
      <c r="Y23" s="235"/>
      <c r="Z23" s="235"/>
      <c r="AA23" s="236"/>
      <c r="AB23" s="236"/>
      <c r="AC23" s="512"/>
      <c r="AD23" s="234" t="s">
        <v>226</v>
      </c>
      <c r="AE23" s="235"/>
      <c r="AF23" s="235"/>
      <c r="AG23" s="235"/>
      <c r="AH23" s="236"/>
      <c r="AI23" s="236"/>
      <c r="AK23" s="240"/>
    </row>
    <row r="24" spans="1:37" x14ac:dyDescent="0.2">
      <c r="A24" s="512"/>
      <c r="B24" s="234" t="s">
        <v>227</v>
      </c>
      <c r="C24" s="235"/>
      <c r="D24" s="235"/>
      <c r="E24" s="235"/>
      <c r="F24" s="236">
        <f t="shared" si="0"/>
        <v>0</v>
      </c>
      <c r="G24" s="238"/>
      <c r="H24" s="514"/>
      <c r="I24" s="234" t="s">
        <v>227</v>
      </c>
      <c r="J24" s="235"/>
      <c r="K24" s="235"/>
      <c r="L24" s="235"/>
      <c r="M24" s="236">
        <f t="shared" si="1"/>
        <v>0</v>
      </c>
      <c r="N24" s="236"/>
      <c r="O24" s="512"/>
      <c r="P24" s="234" t="s">
        <v>227</v>
      </c>
      <c r="Q24" s="235"/>
      <c r="R24" s="235"/>
      <c r="S24" s="235"/>
      <c r="T24" s="236"/>
      <c r="U24" s="236"/>
      <c r="V24" s="512"/>
      <c r="W24" s="234" t="s">
        <v>227</v>
      </c>
      <c r="X24" s="235"/>
      <c r="Y24" s="235"/>
      <c r="Z24" s="235"/>
      <c r="AA24" s="236"/>
      <c r="AB24" s="236"/>
      <c r="AC24" s="512"/>
      <c r="AD24" s="234" t="s">
        <v>227</v>
      </c>
      <c r="AE24" s="235"/>
      <c r="AF24" s="235"/>
      <c r="AG24" s="235"/>
      <c r="AH24" s="236"/>
      <c r="AI24" s="236"/>
      <c r="AK24" s="240"/>
    </row>
    <row r="25" spans="1:37" x14ac:dyDescent="0.2">
      <c r="A25" s="512"/>
      <c r="B25" s="234" t="s">
        <v>228</v>
      </c>
      <c r="C25" s="235"/>
      <c r="D25" s="235"/>
      <c r="E25" s="235"/>
      <c r="F25" s="236">
        <f t="shared" si="0"/>
        <v>0</v>
      </c>
      <c r="G25" s="238"/>
      <c r="H25" s="514"/>
      <c r="I25" s="234" t="s">
        <v>228</v>
      </c>
      <c r="J25" s="235"/>
      <c r="K25" s="235"/>
      <c r="L25" s="235"/>
      <c r="M25" s="236">
        <f t="shared" si="1"/>
        <v>0</v>
      </c>
      <c r="N25" s="236"/>
      <c r="O25" s="512"/>
      <c r="P25" s="234" t="s">
        <v>228</v>
      </c>
      <c r="Q25" s="235"/>
      <c r="R25" s="235"/>
      <c r="S25" s="235"/>
      <c r="T25" s="236"/>
      <c r="U25" s="236"/>
      <c r="V25" s="512"/>
      <c r="W25" s="234" t="s">
        <v>228</v>
      </c>
      <c r="X25" s="235"/>
      <c r="Y25" s="235"/>
      <c r="Z25" s="235"/>
      <c r="AA25" s="236"/>
      <c r="AB25" s="236"/>
      <c r="AC25" s="512"/>
      <c r="AD25" s="234" t="s">
        <v>228</v>
      </c>
      <c r="AE25" s="235"/>
      <c r="AF25" s="235"/>
      <c r="AG25" s="235"/>
      <c r="AH25" s="236"/>
      <c r="AI25" s="236"/>
      <c r="AK25" s="240"/>
    </row>
    <row r="26" spans="1:37" x14ac:dyDescent="0.2">
      <c r="A26" s="512"/>
      <c r="B26" s="234" t="s">
        <v>229</v>
      </c>
      <c r="C26" s="235"/>
      <c r="D26" s="235"/>
      <c r="E26" s="235"/>
      <c r="F26" s="236">
        <f t="shared" si="0"/>
        <v>0</v>
      </c>
      <c r="G26" s="238"/>
      <c r="H26" s="514"/>
      <c r="I26" s="234" t="s">
        <v>229</v>
      </c>
      <c r="J26" s="235"/>
      <c r="K26" s="235"/>
      <c r="L26" s="235"/>
      <c r="M26" s="236">
        <f t="shared" si="1"/>
        <v>0</v>
      </c>
      <c r="N26" s="236"/>
      <c r="O26" s="512"/>
      <c r="P26" s="234" t="s">
        <v>229</v>
      </c>
      <c r="Q26" s="235"/>
      <c r="R26" s="235"/>
      <c r="S26" s="235"/>
      <c r="T26" s="236"/>
      <c r="U26" s="236"/>
      <c r="V26" s="512"/>
      <c r="W26" s="234" t="s">
        <v>229</v>
      </c>
      <c r="X26" s="235"/>
      <c r="Y26" s="235"/>
      <c r="Z26" s="235"/>
      <c r="AA26" s="236"/>
      <c r="AB26" s="236"/>
      <c r="AC26" s="512"/>
      <c r="AD26" s="234" t="s">
        <v>229</v>
      </c>
      <c r="AE26" s="235"/>
      <c r="AF26" s="235"/>
      <c r="AG26" s="235"/>
      <c r="AH26" s="236"/>
      <c r="AI26" s="236"/>
      <c r="AK26" s="240"/>
    </row>
    <row r="27" spans="1:37" x14ac:dyDescent="0.2">
      <c r="A27" s="512"/>
      <c r="B27" s="234" t="s">
        <v>230</v>
      </c>
      <c r="C27" s="235"/>
      <c r="D27" s="235"/>
      <c r="E27" s="235"/>
      <c r="F27" s="236">
        <f t="shared" si="0"/>
        <v>0</v>
      </c>
      <c r="G27" s="238"/>
      <c r="H27" s="514"/>
      <c r="I27" s="234" t="s">
        <v>230</v>
      </c>
      <c r="J27" s="235"/>
      <c r="K27" s="235"/>
      <c r="L27" s="235"/>
      <c r="M27" s="236">
        <f t="shared" si="1"/>
        <v>0</v>
      </c>
      <c r="N27" s="236"/>
      <c r="O27" s="512"/>
      <c r="P27" s="234" t="s">
        <v>230</v>
      </c>
      <c r="Q27" s="235"/>
      <c r="R27" s="235"/>
      <c r="S27" s="235"/>
      <c r="T27" s="236"/>
      <c r="U27" s="236"/>
      <c r="V27" s="512"/>
      <c r="W27" s="234" t="s">
        <v>230</v>
      </c>
      <c r="X27" s="235"/>
      <c r="Y27" s="235"/>
      <c r="Z27" s="235"/>
      <c r="AA27" s="236"/>
      <c r="AB27" s="236"/>
      <c r="AC27" s="512"/>
      <c r="AD27" s="234" t="s">
        <v>230</v>
      </c>
      <c r="AE27" s="235"/>
      <c r="AF27" s="235"/>
      <c r="AG27" s="235"/>
      <c r="AH27" s="236"/>
      <c r="AI27" s="236"/>
      <c r="AK27" s="240"/>
    </row>
    <row r="28" spans="1:37" x14ac:dyDescent="0.2">
      <c r="A28" s="512"/>
      <c r="B28" s="234" t="s">
        <v>231</v>
      </c>
      <c r="C28" s="235"/>
      <c r="D28" s="235"/>
      <c r="E28" s="235"/>
      <c r="F28" s="236">
        <f t="shared" si="0"/>
        <v>0</v>
      </c>
      <c r="G28" s="238"/>
      <c r="H28" s="514"/>
      <c r="I28" s="234" t="s">
        <v>231</v>
      </c>
      <c r="J28" s="235"/>
      <c r="K28" s="235"/>
      <c r="L28" s="235"/>
      <c r="M28" s="236">
        <f t="shared" si="1"/>
        <v>0</v>
      </c>
      <c r="N28" s="236"/>
      <c r="O28" s="512"/>
      <c r="P28" s="234" t="s">
        <v>231</v>
      </c>
      <c r="Q28" s="235"/>
      <c r="R28" s="235"/>
      <c r="S28" s="235"/>
      <c r="T28" s="236"/>
      <c r="U28" s="236"/>
      <c r="V28" s="512"/>
      <c r="W28" s="234" t="s">
        <v>231</v>
      </c>
      <c r="X28" s="235"/>
      <c r="Y28" s="235"/>
      <c r="Z28" s="235"/>
      <c r="AA28" s="236"/>
      <c r="AB28" s="236"/>
      <c r="AC28" s="512"/>
      <c r="AD28" s="234" t="s">
        <v>231</v>
      </c>
      <c r="AE28" s="235"/>
      <c r="AF28" s="235"/>
      <c r="AG28" s="235"/>
      <c r="AH28" s="236"/>
      <c r="AI28" s="236"/>
      <c r="AK28" s="240"/>
    </row>
    <row r="29" spans="1:37" x14ac:dyDescent="0.2">
      <c r="A29" s="512"/>
      <c r="B29" s="234" t="s">
        <v>232</v>
      </c>
      <c r="C29" s="235"/>
      <c r="D29" s="235"/>
      <c r="E29" s="235"/>
      <c r="F29" s="236">
        <f t="shared" si="0"/>
        <v>0</v>
      </c>
      <c r="G29" s="238"/>
      <c r="H29" s="514"/>
      <c r="I29" s="234" t="s">
        <v>232</v>
      </c>
      <c r="J29" s="235"/>
      <c r="K29" s="235"/>
      <c r="L29" s="235"/>
      <c r="M29" s="236">
        <f t="shared" si="1"/>
        <v>0</v>
      </c>
      <c r="N29" s="236"/>
      <c r="O29" s="512"/>
      <c r="P29" s="234" t="s">
        <v>232</v>
      </c>
      <c r="Q29" s="235"/>
      <c r="R29" s="235"/>
      <c r="S29" s="235"/>
      <c r="T29" s="236"/>
      <c r="U29" s="236"/>
      <c r="V29" s="512"/>
      <c r="W29" s="234" t="s">
        <v>232</v>
      </c>
      <c r="X29" s="235"/>
      <c r="Y29" s="235"/>
      <c r="Z29" s="235"/>
      <c r="AA29" s="236"/>
      <c r="AB29" s="236"/>
      <c r="AC29" s="512"/>
      <c r="AD29" s="234" t="s">
        <v>232</v>
      </c>
      <c r="AE29" s="235"/>
      <c r="AF29" s="235"/>
      <c r="AG29" s="235"/>
      <c r="AH29" s="236"/>
      <c r="AI29" s="236"/>
      <c r="AK29" s="240"/>
    </row>
    <row r="30" spans="1:37" x14ac:dyDescent="0.2">
      <c r="A30" s="512"/>
      <c r="B30" s="234" t="s">
        <v>233</v>
      </c>
      <c r="C30" s="235"/>
      <c r="D30" s="235"/>
      <c r="E30" s="235"/>
      <c r="F30" s="236">
        <f t="shared" si="0"/>
        <v>0</v>
      </c>
      <c r="G30" s="238"/>
      <c r="H30" s="514"/>
      <c r="I30" s="234" t="s">
        <v>233</v>
      </c>
      <c r="J30" s="235"/>
      <c r="K30" s="235"/>
      <c r="L30" s="235"/>
      <c r="M30" s="236">
        <f t="shared" si="1"/>
        <v>0</v>
      </c>
      <c r="N30" s="236"/>
      <c r="O30" s="512"/>
      <c r="P30" s="234" t="s">
        <v>233</v>
      </c>
      <c r="Q30" s="235"/>
      <c r="R30" s="235"/>
      <c r="S30" s="235"/>
      <c r="T30" s="236"/>
      <c r="U30" s="236"/>
      <c r="V30" s="512"/>
      <c r="W30" s="234" t="s">
        <v>233</v>
      </c>
      <c r="X30" s="235"/>
      <c r="Y30" s="235"/>
      <c r="Z30" s="235"/>
      <c r="AA30" s="236"/>
      <c r="AB30" s="236"/>
      <c r="AC30" s="512"/>
      <c r="AD30" s="234" t="s">
        <v>233</v>
      </c>
      <c r="AE30" s="235"/>
      <c r="AF30" s="235"/>
      <c r="AG30" s="235"/>
      <c r="AH30" s="236"/>
      <c r="AI30" s="236"/>
      <c r="AK30" s="240"/>
    </row>
    <row r="31" spans="1:37" x14ac:dyDescent="0.2">
      <c r="A31" s="512"/>
      <c r="B31" s="234" t="s">
        <v>234</v>
      </c>
      <c r="C31" s="235"/>
      <c r="D31" s="235"/>
      <c r="E31" s="235"/>
      <c r="F31" s="236">
        <f t="shared" si="0"/>
        <v>0</v>
      </c>
      <c r="G31" s="238"/>
      <c r="H31" s="514"/>
      <c r="I31" s="234" t="s">
        <v>234</v>
      </c>
      <c r="J31" s="235"/>
      <c r="K31" s="235"/>
      <c r="L31" s="235"/>
      <c r="M31" s="236">
        <f t="shared" si="1"/>
        <v>0</v>
      </c>
      <c r="N31" s="236"/>
      <c r="O31" s="512"/>
      <c r="P31" s="234" t="s">
        <v>234</v>
      </c>
      <c r="Q31" s="235"/>
      <c r="R31" s="235"/>
      <c r="S31" s="235"/>
      <c r="T31" s="236"/>
      <c r="U31" s="236"/>
      <c r="V31" s="512"/>
      <c r="W31" s="234" t="s">
        <v>234</v>
      </c>
      <c r="X31" s="235"/>
      <c r="Y31" s="235"/>
      <c r="Z31" s="235"/>
      <c r="AA31" s="236"/>
      <c r="AB31" s="236"/>
      <c r="AC31" s="512"/>
      <c r="AD31" s="234" t="s">
        <v>234</v>
      </c>
      <c r="AE31" s="235"/>
      <c r="AF31" s="235"/>
      <c r="AG31" s="235"/>
      <c r="AH31" s="236"/>
      <c r="AI31" s="236"/>
      <c r="AK31" s="240"/>
    </row>
    <row r="32" spans="1:37" x14ac:dyDescent="0.2">
      <c r="A32" s="512"/>
      <c r="B32" s="234" t="s">
        <v>235</v>
      </c>
      <c r="C32" s="235"/>
      <c r="D32" s="235"/>
      <c r="E32" s="235"/>
      <c r="F32" s="236">
        <f t="shared" si="0"/>
        <v>0</v>
      </c>
      <c r="G32" s="238"/>
      <c r="H32" s="514"/>
      <c r="I32" s="234" t="s">
        <v>235</v>
      </c>
      <c r="J32" s="235"/>
      <c r="K32" s="235"/>
      <c r="L32" s="235"/>
      <c r="M32" s="236">
        <f t="shared" si="1"/>
        <v>0</v>
      </c>
      <c r="N32" s="236"/>
      <c r="O32" s="512"/>
      <c r="P32" s="234" t="s">
        <v>235</v>
      </c>
      <c r="Q32" s="235"/>
      <c r="R32" s="235"/>
      <c r="S32" s="235"/>
      <c r="T32" s="236"/>
      <c r="U32" s="236"/>
      <c r="V32" s="512"/>
      <c r="W32" s="234" t="s">
        <v>235</v>
      </c>
      <c r="X32" s="235"/>
      <c r="Y32" s="235"/>
      <c r="Z32" s="235"/>
      <c r="AA32" s="236"/>
      <c r="AB32" s="236"/>
      <c r="AC32" s="512"/>
      <c r="AD32" s="234" t="s">
        <v>235</v>
      </c>
      <c r="AE32" s="235"/>
      <c r="AF32" s="235"/>
      <c r="AG32" s="235"/>
      <c r="AH32" s="236"/>
      <c r="AI32" s="236"/>
      <c r="AK32" s="240"/>
    </row>
    <row r="33" spans="1:37" x14ac:dyDescent="0.2">
      <c r="A33" s="512"/>
      <c r="B33" s="234" t="s">
        <v>236</v>
      </c>
      <c r="C33" s="235"/>
      <c r="D33" s="235"/>
      <c r="E33" s="235"/>
      <c r="F33" s="236">
        <f t="shared" si="0"/>
        <v>0</v>
      </c>
      <c r="G33" s="239">
        <f>SUM(D22:D33)</f>
        <v>0</v>
      </c>
      <c r="H33" s="515"/>
      <c r="I33" s="234" t="s">
        <v>236</v>
      </c>
      <c r="J33" s="235"/>
      <c r="K33" s="235"/>
      <c r="L33" s="235"/>
      <c r="M33" s="236">
        <f t="shared" si="1"/>
        <v>0</v>
      </c>
      <c r="N33" s="239">
        <f>SUM(K22:K33)</f>
        <v>0</v>
      </c>
      <c r="O33" s="512"/>
      <c r="P33" s="234" t="s">
        <v>236</v>
      </c>
      <c r="Q33" s="235"/>
      <c r="R33" s="235"/>
      <c r="S33" s="235"/>
      <c r="T33" s="236"/>
      <c r="U33" s="236"/>
      <c r="V33" s="512"/>
      <c r="W33" s="234" t="s">
        <v>236</v>
      </c>
      <c r="X33" s="235"/>
      <c r="Y33" s="235"/>
      <c r="Z33" s="235"/>
      <c r="AA33" s="236"/>
      <c r="AB33" s="236"/>
      <c r="AC33" s="512"/>
      <c r="AD33" s="234" t="s">
        <v>236</v>
      </c>
      <c r="AE33" s="235"/>
      <c r="AF33" s="235"/>
      <c r="AG33" s="235"/>
      <c r="AH33" s="236"/>
      <c r="AI33" s="236"/>
      <c r="AJ33" s="208">
        <f>AJ21+1</f>
        <v>2023</v>
      </c>
      <c r="AK33" s="240">
        <f>G33+N33+U33+AB33+AI33</f>
        <v>0</v>
      </c>
    </row>
    <row r="34" spans="1:37" x14ac:dyDescent="0.2">
      <c r="A34" s="512">
        <f>A22+1</f>
        <v>2024</v>
      </c>
      <c r="B34" s="234" t="s">
        <v>225</v>
      </c>
      <c r="C34" s="235"/>
      <c r="D34" s="235"/>
      <c r="E34" s="235"/>
      <c r="F34" s="236">
        <f t="shared" si="0"/>
        <v>0</v>
      </c>
      <c r="G34" s="237"/>
      <c r="H34" s="513">
        <f>H22+1</f>
        <v>2024</v>
      </c>
      <c r="I34" s="234" t="s">
        <v>225</v>
      </c>
      <c r="J34" s="235"/>
      <c r="K34" s="235"/>
      <c r="L34" s="235"/>
      <c r="M34" s="236">
        <f t="shared" si="1"/>
        <v>0</v>
      </c>
      <c r="N34" s="236"/>
      <c r="O34" s="512">
        <f>O22+1</f>
        <v>2024</v>
      </c>
      <c r="P34" s="234" t="s">
        <v>225</v>
      </c>
      <c r="Q34" s="235"/>
      <c r="R34" s="235"/>
      <c r="S34" s="235"/>
      <c r="T34" s="236">
        <f>R34+S34</f>
        <v>0</v>
      </c>
      <c r="U34" s="236"/>
      <c r="V34" s="512">
        <f>V22+1</f>
        <v>2023</v>
      </c>
      <c r="W34" s="234" t="s">
        <v>225</v>
      </c>
      <c r="X34" s="235"/>
      <c r="Y34" s="235">
        <f>X34*$D$7/12</f>
        <v>0</v>
      </c>
      <c r="Z34" s="235"/>
      <c r="AA34" s="236">
        <f>Y34+Z34</f>
        <v>0</v>
      </c>
      <c r="AB34" s="236"/>
      <c r="AC34" s="512">
        <f>AC22+1</f>
        <v>2023</v>
      </c>
      <c r="AD34" s="234" t="s">
        <v>225</v>
      </c>
      <c r="AE34" s="235"/>
      <c r="AF34" s="235">
        <f>AE34*$D$7/12</f>
        <v>0</v>
      </c>
      <c r="AG34" s="235"/>
      <c r="AH34" s="236">
        <f>AF34+AG34</f>
        <v>0</v>
      </c>
      <c r="AI34" s="236"/>
      <c r="AK34" s="240"/>
    </row>
    <row r="35" spans="1:37" x14ac:dyDescent="0.2">
      <c r="A35" s="512"/>
      <c r="B35" s="234" t="s">
        <v>226</v>
      </c>
      <c r="C35" s="235"/>
      <c r="D35" s="235"/>
      <c r="E35" s="235"/>
      <c r="F35" s="236">
        <f t="shared" si="0"/>
        <v>0</v>
      </c>
      <c r="G35" s="238"/>
      <c r="H35" s="514"/>
      <c r="I35" s="234" t="s">
        <v>226</v>
      </c>
      <c r="J35" s="235"/>
      <c r="K35" s="235"/>
      <c r="L35" s="235"/>
      <c r="M35" s="236">
        <f t="shared" si="1"/>
        <v>0</v>
      </c>
      <c r="N35" s="236"/>
      <c r="O35" s="512"/>
      <c r="P35" s="234" t="s">
        <v>226</v>
      </c>
      <c r="Q35" s="235"/>
      <c r="R35" s="235"/>
      <c r="S35" s="235"/>
      <c r="T35" s="236">
        <f>R35+S35</f>
        <v>0</v>
      </c>
      <c r="U35" s="236"/>
      <c r="V35" s="512"/>
      <c r="W35" s="234" t="s">
        <v>226</v>
      </c>
      <c r="X35" s="235"/>
      <c r="Y35" s="235">
        <f t="shared" ref="Y35:Y69" si="2">X35*$D$7/12</f>
        <v>0</v>
      </c>
      <c r="Z35" s="235"/>
      <c r="AA35" s="236">
        <f>Y35+Z35</f>
        <v>0</v>
      </c>
      <c r="AB35" s="236"/>
      <c r="AC35" s="512"/>
      <c r="AD35" s="234" t="s">
        <v>226</v>
      </c>
      <c r="AE35" s="235"/>
      <c r="AF35" s="235">
        <f t="shared" ref="AF35:AF69" si="3">AE35*$D$7/12</f>
        <v>0</v>
      </c>
      <c r="AG35" s="235"/>
      <c r="AH35" s="236">
        <f>AF35+AG35</f>
        <v>0</v>
      </c>
      <c r="AI35" s="236"/>
      <c r="AK35" s="240"/>
    </row>
    <row r="36" spans="1:37" x14ac:dyDescent="0.2">
      <c r="A36" s="512"/>
      <c r="B36" s="234" t="s">
        <v>227</v>
      </c>
      <c r="C36" s="235"/>
      <c r="D36" s="235"/>
      <c r="E36" s="235"/>
      <c r="F36" s="236">
        <f t="shared" si="0"/>
        <v>0</v>
      </c>
      <c r="G36" s="238"/>
      <c r="H36" s="514"/>
      <c r="I36" s="234" t="s">
        <v>227</v>
      </c>
      <c r="J36" s="235"/>
      <c r="K36" s="235"/>
      <c r="L36" s="235"/>
      <c r="M36" s="236">
        <f t="shared" si="1"/>
        <v>0</v>
      </c>
      <c r="N36" s="236"/>
      <c r="O36" s="512"/>
      <c r="P36" s="234" t="s">
        <v>227</v>
      </c>
      <c r="Q36" s="235"/>
      <c r="R36" s="235"/>
      <c r="S36" s="235"/>
      <c r="T36" s="236">
        <f t="shared" ref="T36:T99" si="4">R36+S36</f>
        <v>0</v>
      </c>
      <c r="U36" s="236"/>
      <c r="V36" s="512"/>
      <c r="W36" s="234" t="s">
        <v>227</v>
      </c>
      <c r="X36" s="235"/>
      <c r="Y36" s="235">
        <f t="shared" si="2"/>
        <v>0</v>
      </c>
      <c r="Z36" s="235"/>
      <c r="AA36" s="236">
        <f t="shared" ref="AA36:AA99" si="5">Y36+Z36</f>
        <v>0</v>
      </c>
      <c r="AB36" s="236"/>
      <c r="AC36" s="512"/>
      <c r="AD36" s="234" t="s">
        <v>227</v>
      </c>
      <c r="AE36" s="235"/>
      <c r="AF36" s="235">
        <f t="shared" si="3"/>
        <v>0</v>
      </c>
      <c r="AG36" s="235"/>
      <c r="AH36" s="236">
        <f t="shared" ref="AH36:AH99" si="6">AF36+AG36</f>
        <v>0</v>
      </c>
      <c r="AI36" s="236"/>
      <c r="AK36" s="240"/>
    </row>
    <row r="37" spans="1:37" x14ac:dyDescent="0.2">
      <c r="A37" s="512"/>
      <c r="B37" s="234" t="s">
        <v>228</v>
      </c>
      <c r="C37" s="235"/>
      <c r="D37" s="235"/>
      <c r="E37" s="235"/>
      <c r="F37" s="236">
        <f t="shared" si="0"/>
        <v>0</v>
      </c>
      <c r="G37" s="238"/>
      <c r="H37" s="514"/>
      <c r="I37" s="234" t="s">
        <v>228</v>
      </c>
      <c r="J37" s="235"/>
      <c r="K37" s="235"/>
      <c r="L37" s="235"/>
      <c r="M37" s="236">
        <f t="shared" si="1"/>
        <v>0</v>
      </c>
      <c r="N37" s="236"/>
      <c r="O37" s="512"/>
      <c r="P37" s="234" t="s">
        <v>228</v>
      </c>
      <c r="Q37" s="235"/>
      <c r="R37" s="235"/>
      <c r="S37" s="235"/>
      <c r="T37" s="236">
        <f t="shared" si="4"/>
        <v>0</v>
      </c>
      <c r="U37" s="236"/>
      <c r="V37" s="512"/>
      <c r="W37" s="234" t="s">
        <v>228</v>
      </c>
      <c r="X37" s="235"/>
      <c r="Y37" s="235">
        <f t="shared" si="2"/>
        <v>0</v>
      </c>
      <c r="Z37" s="235"/>
      <c r="AA37" s="236">
        <f t="shared" si="5"/>
        <v>0</v>
      </c>
      <c r="AB37" s="236"/>
      <c r="AC37" s="512"/>
      <c r="AD37" s="234" t="s">
        <v>228</v>
      </c>
      <c r="AE37" s="235"/>
      <c r="AF37" s="235">
        <f t="shared" si="3"/>
        <v>0</v>
      </c>
      <c r="AG37" s="235"/>
      <c r="AH37" s="236">
        <f t="shared" si="6"/>
        <v>0</v>
      </c>
      <c r="AI37" s="236"/>
      <c r="AK37" s="240"/>
    </row>
    <row r="38" spans="1:37" x14ac:dyDescent="0.2">
      <c r="A38" s="512"/>
      <c r="B38" s="234" t="s">
        <v>229</v>
      </c>
      <c r="C38" s="235"/>
      <c r="D38" s="235"/>
      <c r="E38" s="235"/>
      <c r="F38" s="236">
        <f t="shared" si="0"/>
        <v>0</v>
      </c>
      <c r="G38" s="238"/>
      <c r="H38" s="514"/>
      <c r="I38" s="234" t="s">
        <v>229</v>
      </c>
      <c r="J38" s="235"/>
      <c r="K38" s="235"/>
      <c r="L38" s="235"/>
      <c r="M38" s="236">
        <f t="shared" si="1"/>
        <v>0</v>
      </c>
      <c r="N38" s="236"/>
      <c r="O38" s="512"/>
      <c r="P38" s="234" t="s">
        <v>229</v>
      </c>
      <c r="Q38" s="235"/>
      <c r="R38" s="235"/>
      <c r="S38" s="235"/>
      <c r="T38" s="236">
        <f t="shared" si="4"/>
        <v>0</v>
      </c>
      <c r="U38" s="236"/>
      <c r="V38" s="512"/>
      <c r="W38" s="234" t="s">
        <v>229</v>
      </c>
      <c r="X38" s="235"/>
      <c r="Y38" s="235">
        <f t="shared" si="2"/>
        <v>0</v>
      </c>
      <c r="Z38" s="235"/>
      <c r="AA38" s="236">
        <f t="shared" si="5"/>
        <v>0</v>
      </c>
      <c r="AB38" s="236"/>
      <c r="AC38" s="512"/>
      <c r="AD38" s="234" t="s">
        <v>229</v>
      </c>
      <c r="AE38" s="235"/>
      <c r="AF38" s="235">
        <f t="shared" si="3"/>
        <v>0</v>
      </c>
      <c r="AG38" s="235"/>
      <c r="AH38" s="236">
        <f t="shared" si="6"/>
        <v>0</v>
      </c>
      <c r="AI38" s="236"/>
      <c r="AK38" s="240"/>
    </row>
    <row r="39" spans="1:37" x14ac:dyDescent="0.2">
      <c r="A39" s="512"/>
      <c r="B39" s="234" t="s">
        <v>230</v>
      </c>
      <c r="C39" s="235"/>
      <c r="D39" s="235"/>
      <c r="E39" s="235"/>
      <c r="F39" s="236">
        <f t="shared" si="0"/>
        <v>0</v>
      </c>
      <c r="G39" s="238"/>
      <c r="H39" s="514"/>
      <c r="I39" s="234" t="s">
        <v>230</v>
      </c>
      <c r="J39" s="235"/>
      <c r="K39" s="235"/>
      <c r="L39" s="235"/>
      <c r="M39" s="236">
        <f t="shared" si="1"/>
        <v>0</v>
      </c>
      <c r="N39" s="236"/>
      <c r="O39" s="512"/>
      <c r="P39" s="234" t="s">
        <v>230</v>
      </c>
      <c r="Q39" s="235"/>
      <c r="R39" s="235"/>
      <c r="S39" s="235"/>
      <c r="T39" s="236">
        <f t="shared" si="4"/>
        <v>0</v>
      </c>
      <c r="U39" s="236"/>
      <c r="V39" s="512"/>
      <c r="W39" s="234" t="s">
        <v>230</v>
      </c>
      <c r="X39" s="235"/>
      <c r="Y39" s="235">
        <f t="shared" si="2"/>
        <v>0</v>
      </c>
      <c r="Z39" s="235"/>
      <c r="AA39" s="236">
        <f t="shared" si="5"/>
        <v>0</v>
      </c>
      <c r="AB39" s="236"/>
      <c r="AC39" s="512"/>
      <c r="AD39" s="234" t="s">
        <v>230</v>
      </c>
      <c r="AE39" s="235"/>
      <c r="AF39" s="235">
        <f t="shared" si="3"/>
        <v>0</v>
      </c>
      <c r="AG39" s="235"/>
      <c r="AH39" s="236">
        <f t="shared" si="6"/>
        <v>0</v>
      </c>
      <c r="AI39" s="236"/>
      <c r="AK39" s="240"/>
    </row>
    <row r="40" spans="1:37" x14ac:dyDescent="0.2">
      <c r="A40" s="512"/>
      <c r="B40" s="234" t="s">
        <v>231</v>
      </c>
      <c r="C40" s="235"/>
      <c r="D40" s="235"/>
      <c r="E40" s="235"/>
      <c r="F40" s="236">
        <f t="shared" si="0"/>
        <v>0</v>
      </c>
      <c r="G40" s="238"/>
      <c r="H40" s="514"/>
      <c r="I40" s="234" t="s">
        <v>231</v>
      </c>
      <c r="J40" s="235"/>
      <c r="K40" s="235"/>
      <c r="L40" s="235"/>
      <c r="M40" s="236">
        <f t="shared" si="1"/>
        <v>0</v>
      </c>
      <c r="N40" s="236"/>
      <c r="O40" s="512"/>
      <c r="P40" s="234" t="s">
        <v>231</v>
      </c>
      <c r="Q40" s="235"/>
      <c r="R40" s="235"/>
      <c r="S40" s="235"/>
      <c r="T40" s="236">
        <f t="shared" si="4"/>
        <v>0</v>
      </c>
      <c r="U40" s="236"/>
      <c r="V40" s="512"/>
      <c r="W40" s="234" t="s">
        <v>231</v>
      </c>
      <c r="X40" s="235"/>
      <c r="Y40" s="235">
        <f t="shared" si="2"/>
        <v>0</v>
      </c>
      <c r="Z40" s="235"/>
      <c r="AA40" s="236">
        <f t="shared" si="5"/>
        <v>0</v>
      </c>
      <c r="AB40" s="236"/>
      <c r="AC40" s="512"/>
      <c r="AD40" s="234" t="s">
        <v>231</v>
      </c>
      <c r="AE40" s="235"/>
      <c r="AF40" s="235">
        <f t="shared" si="3"/>
        <v>0</v>
      </c>
      <c r="AG40" s="235"/>
      <c r="AH40" s="236">
        <f t="shared" si="6"/>
        <v>0</v>
      </c>
      <c r="AI40" s="236"/>
      <c r="AK40" s="240"/>
    </row>
    <row r="41" spans="1:37" x14ac:dyDescent="0.2">
      <c r="A41" s="512"/>
      <c r="B41" s="234" t="s">
        <v>232</v>
      </c>
      <c r="C41" s="235"/>
      <c r="D41" s="235"/>
      <c r="E41" s="235"/>
      <c r="F41" s="236">
        <f t="shared" si="0"/>
        <v>0</v>
      </c>
      <c r="G41" s="238"/>
      <c r="H41" s="514"/>
      <c r="I41" s="234" t="s">
        <v>232</v>
      </c>
      <c r="J41" s="235"/>
      <c r="K41" s="235"/>
      <c r="L41" s="235"/>
      <c r="M41" s="236">
        <f t="shared" si="1"/>
        <v>0</v>
      </c>
      <c r="N41" s="236"/>
      <c r="O41" s="512"/>
      <c r="P41" s="234" t="s">
        <v>232</v>
      </c>
      <c r="Q41" s="235"/>
      <c r="R41" s="235"/>
      <c r="S41" s="235"/>
      <c r="T41" s="236">
        <f t="shared" si="4"/>
        <v>0</v>
      </c>
      <c r="U41" s="236"/>
      <c r="V41" s="512"/>
      <c r="W41" s="234" t="s">
        <v>232</v>
      </c>
      <c r="X41" s="235"/>
      <c r="Y41" s="235">
        <f t="shared" si="2"/>
        <v>0</v>
      </c>
      <c r="Z41" s="235"/>
      <c r="AA41" s="236">
        <f t="shared" si="5"/>
        <v>0</v>
      </c>
      <c r="AB41" s="236"/>
      <c r="AC41" s="512"/>
      <c r="AD41" s="234" t="s">
        <v>232</v>
      </c>
      <c r="AE41" s="235"/>
      <c r="AF41" s="235">
        <f t="shared" si="3"/>
        <v>0</v>
      </c>
      <c r="AG41" s="235"/>
      <c r="AH41" s="236">
        <f t="shared" si="6"/>
        <v>0</v>
      </c>
      <c r="AI41" s="236"/>
      <c r="AK41" s="240"/>
    </row>
    <row r="42" spans="1:37" x14ac:dyDescent="0.2">
      <c r="A42" s="512"/>
      <c r="B42" s="234" t="s">
        <v>233</v>
      </c>
      <c r="C42" s="235"/>
      <c r="D42" s="235"/>
      <c r="E42" s="235"/>
      <c r="F42" s="236">
        <f t="shared" si="0"/>
        <v>0</v>
      </c>
      <c r="G42" s="238"/>
      <c r="H42" s="514"/>
      <c r="I42" s="234" t="s">
        <v>233</v>
      </c>
      <c r="J42" s="235"/>
      <c r="K42" s="235"/>
      <c r="L42" s="235"/>
      <c r="M42" s="236">
        <f t="shared" si="1"/>
        <v>0</v>
      </c>
      <c r="N42" s="236"/>
      <c r="O42" s="512"/>
      <c r="P42" s="234" t="s">
        <v>233</v>
      </c>
      <c r="Q42" s="235"/>
      <c r="R42" s="235"/>
      <c r="S42" s="235"/>
      <c r="T42" s="236">
        <f t="shared" si="4"/>
        <v>0</v>
      </c>
      <c r="U42" s="236"/>
      <c r="V42" s="512"/>
      <c r="W42" s="234" t="s">
        <v>233</v>
      </c>
      <c r="X42" s="235"/>
      <c r="Y42" s="235">
        <f t="shared" si="2"/>
        <v>0</v>
      </c>
      <c r="Z42" s="235"/>
      <c r="AA42" s="236">
        <f t="shared" si="5"/>
        <v>0</v>
      </c>
      <c r="AB42" s="236"/>
      <c r="AC42" s="512"/>
      <c r="AD42" s="234" t="s">
        <v>233</v>
      </c>
      <c r="AE42" s="235"/>
      <c r="AF42" s="235">
        <f t="shared" si="3"/>
        <v>0</v>
      </c>
      <c r="AG42" s="235"/>
      <c r="AH42" s="236">
        <f t="shared" si="6"/>
        <v>0</v>
      </c>
      <c r="AI42" s="236"/>
      <c r="AK42" s="240"/>
    </row>
    <row r="43" spans="1:37" x14ac:dyDescent="0.2">
      <c r="A43" s="512"/>
      <c r="B43" s="234" t="s">
        <v>234</v>
      </c>
      <c r="C43" s="235"/>
      <c r="D43" s="235"/>
      <c r="E43" s="235"/>
      <c r="F43" s="236">
        <f t="shared" si="0"/>
        <v>0</v>
      </c>
      <c r="G43" s="238"/>
      <c r="H43" s="514"/>
      <c r="I43" s="234" t="s">
        <v>234</v>
      </c>
      <c r="J43" s="235"/>
      <c r="K43" s="235"/>
      <c r="L43" s="235"/>
      <c r="M43" s="236">
        <f t="shared" si="1"/>
        <v>0</v>
      </c>
      <c r="N43" s="236"/>
      <c r="O43" s="512"/>
      <c r="P43" s="234" t="s">
        <v>234</v>
      </c>
      <c r="Q43" s="235"/>
      <c r="R43" s="235"/>
      <c r="S43" s="235"/>
      <c r="T43" s="236">
        <f t="shared" si="4"/>
        <v>0</v>
      </c>
      <c r="U43" s="236"/>
      <c r="V43" s="512"/>
      <c r="W43" s="234" t="s">
        <v>234</v>
      </c>
      <c r="X43" s="235"/>
      <c r="Y43" s="235">
        <f t="shared" si="2"/>
        <v>0</v>
      </c>
      <c r="Z43" s="235"/>
      <c r="AA43" s="236">
        <f t="shared" si="5"/>
        <v>0</v>
      </c>
      <c r="AB43" s="236"/>
      <c r="AC43" s="512"/>
      <c r="AD43" s="234" t="s">
        <v>234</v>
      </c>
      <c r="AE43" s="235"/>
      <c r="AF43" s="235">
        <f t="shared" si="3"/>
        <v>0</v>
      </c>
      <c r="AG43" s="235"/>
      <c r="AH43" s="236">
        <f t="shared" si="6"/>
        <v>0</v>
      </c>
      <c r="AI43" s="236"/>
      <c r="AK43" s="240"/>
    </row>
    <row r="44" spans="1:37" x14ac:dyDescent="0.2">
      <c r="A44" s="512"/>
      <c r="B44" s="234" t="s">
        <v>235</v>
      </c>
      <c r="C44" s="235"/>
      <c r="D44" s="235"/>
      <c r="E44" s="235"/>
      <c r="F44" s="236">
        <f t="shared" si="0"/>
        <v>0</v>
      </c>
      <c r="G44" s="238"/>
      <c r="H44" s="514"/>
      <c r="I44" s="234" t="s">
        <v>235</v>
      </c>
      <c r="J44" s="235"/>
      <c r="K44" s="235"/>
      <c r="L44" s="235"/>
      <c r="M44" s="236">
        <f t="shared" si="1"/>
        <v>0</v>
      </c>
      <c r="N44" s="236"/>
      <c r="O44" s="512"/>
      <c r="P44" s="234" t="s">
        <v>235</v>
      </c>
      <c r="Q44" s="235"/>
      <c r="R44" s="235"/>
      <c r="S44" s="235"/>
      <c r="T44" s="236">
        <f t="shared" si="4"/>
        <v>0</v>
      </c>
      <c r="U44" s="236"/>
      <c r="V44" s="512"/>
      <c r="W44" s="234" t="s">
        <v>235</v>
      </c>
      <c r="X44" s="235"/>
      <c r="Y44" s="235">
        <f t="shared" si="2"/>
        <v>0</v>
      </c>
      <c r="Z44" s="235"/>
      <c r="AA44" s="236">
        <f t="shared" si="5"/>
        <v>0</v>
      </c>
      <c r="AB44" s="236"/>
      <c r="AC44" s="512"/>
      <c r="AD44" s="234" t="s">
        <v>235</v>
      </c>
      <c r="AE44" s="235"/>
      <c r="AF44" s="235">
        <f t="shared" si="3"/>
        <v>0</v>
      </c>
      <c r="AG44" s="235"/>
      <c r="AH44" s="236">
        <f t="shared" si="6"/>
        <v>0</v>
      </c>
      <c r="AI44" s="236"/>
      <c r="AK44" s="240"/>
    </row>
    <row r="45" spans="1:37" x14ac:dyDescent="0.2">
      <c r="A45" s="512"/>
      <c r="B45" s="234" t="s">
        <v>236</v>
      </c>
      <c r="C45" s="235"/>
      <c r="D45" s="235"/>
      <c r="E45" s="235"/>
      <c r="F45" s="236">
        <f t="shared" si="0"/>
        <v>0</v>
      </c>
      <c r="G45" s="239">
        <f>SUM(D34:D45)</f>
        <v>0</v>
      </c>
      <c r="H45" s="515"/>
      <c r="I45" s="234" t="s">
        <v>236</v>
      </c>
      <c r="J45" s="235"/>
      <c r="K45" s="235"/>
      <c r="L45" s="235"/>
      <c r="M45" s="236">
        <f t="shared" si="1"/>
        <v>0</v>
      </c>
      <c r="N45" s="239">
        <f>SUM(K34:K45)</f>
        <v>0</v>
      </c>
      <c r="O45" s="512"/>
      <c r="P45" s="234" t="s">
        <v>236</v>
      </c>
      <c r="Q45" s="235"/>
      <c r="R45" s="235"/>
      <c r="S45" s="235"/>
      <c r="T45" s="236">
        <f t="shared" si="4"/>
        <v>0</v>
      </c>
      <c r="U45" s="239">
        <f>SUM(R34:R45)</f>
        <v>0</v>
      </c>
      <c r="V45" s="512"/>
      <c r="W45" s="234" t="s">
        <v>236</v>
      </c>
      <c r="X45" s="235"/>
      <c r="Y45" s="235">
        <f t="shared" si="2"/>
        <v>0</v>
      </c>
      <c r="Z45" s="235"/>
      <c r="AA45" s="236">
        <f t="shared" si="5"/>
        <v>0</v>
      </c>
      <c r="AB45" s="239">
        <f>SUM(Y34:Y45)</f>
        <v>0</v>
      </c>
      <c r="AC45" s="512"/>
      <c r="AD45" s="234" t="s">
        <v>236</v>
      </c>
      <c r="AE45" s="235"/>
      <c r="AF45" s="235">
        <f t="shared" si="3"/>
        <v>0</v>
      </c>
      <c r="AG45" s="235"/>
      <c r="AH45" s="236">
        <f t="shared" si="6"/>
        <v>0</v>
      </c>
      <c r="AI45" s="239">
        <f>SUM(AF34:AF45)</f>
        <v>0</v>
      </c>
      <c r="AJ45" s="208">
        <f>AJ33+1</f>
        <v>2024</v>
      </c>
      <c r="AK45" s="240">
        <f>G45+N45+U45+AB45+AI45</f>
        <v>0</v>
      </c>
    </row>
    <row r="46" spans="1:37" x14ac:dyDescent="0.2">
      <c r="A46" s="512">
        <f>A34+1</f>
        <v>2025</v>
      </c>
      <c r="B46" s="234" t="s">
        <v>225</v>
      </c>
      <c r="C46" s="235">
        <f>C7-C8</f>
        <v>24441.893999999997</v>
      </c>
      <c r="D46" s="235">
        <f t="shared" ref="D46:D109" si="7">C46*$D$7/12</f>
        <v>407.36489999999998</v>
      </c>
      <c r="E46" s="235">
        <f t="shared" ref="E46:E109" si="8">$C$7/$D$8</f>
        <v>203.68244999999996</v>
      </c>
      <c r="F46" s="236">
        <f t="shared" si="0"/>
        <v>611.04734999999994</v>
      </c>
      <c r="G46" s="237"/>
      <c r="H46" s="513">
        <f>H34+1</f>
        <v>2025</v>
      </c>
      <c r="I46" s="234" t="s">
        <v>225</v>
      </c>
      <c r="J46" s="235">
        <f>J7-J8</f>
        <v>2136.4639999999999</v>
      </c>
      <c r="K46" s="235">
        <f t="shared" ref="K46:K109" si="9">J46*$D$7/12</f>
        <v>35.607733333333336</v>
      </c>
      <c r="L46" s="235">
        <f t="shared" ref="L46:L109" si="10">$J$7/$K$8</f>
        <v>17.803866666666668</v>
      </c>
      <c r="M46" s="236">
        <f t="shared" si="1"/>
        <v>53.411600000000007</v>
      </c>
      <c r="N46" s="236"/>
      <c r="O46" s="512">
        <f>O34+1</f>
        <v>2025</v>
      </c>
      <c r="P46" s="234" t="s">
        <v>225</v>
      </c>
      <c r="Q46" s="235"/>
      <c r="R46" s="235"/>
      <c r="S46" s="235"/>
      <c r="T46" s="236">
        <f t="shared" si="4"/>
        <v>0</v>
      </c>
      <c r="U46" s="236"/>
      <c r="V46" s="512">
        <f>V34+1</f>
        <v>2024</v>
      </c>
      <c r="W46" s="234" t="s">
        <v>225</v>
      </c>
      <c r="X46" s="235"/>
      <c r="Y46" s="235">
        <f t="shared" si="2"/>
        <v>0</v>
      </c>
      <c r="Z46" s="235"/>
      <c r="AA46" s="236">
        <f t="shared" si="5"/>
        <v>0</v>
      </c>
      <c r="AB46" s="236"/>
      <c r="AC46" s="512">
        <f>AC34+1</f>
        <v>2024</v>
      </c>
      <c r="AD46" s="234" t="s">
        <v>225</v>
      </c>
      <c r="AE46" s="235"/>
      <c r="AF46" s="235">
        <f t="shared" si="3"/>
        <v>0</v>
      </c>
      <c r="AG46" s="235"/>
      <c r="AH46" s="236">
        <f t="shared" si="6"/>
        <v>0</v>
      </c>
      <c r="AI46" s="236"/>
      <c r="AK46" s="240"/>
    </row>
    <row r="47" spans="1:37" x14ac:dyDescent="0.2">
      <c r="A47" s="512"/>
      <c r="B47" s="234" t="s">
        <v>226</v>
      </c>
      <c r="C47" s="235">
        <f t="shared" ref="C47:C110" si="11">C46-E46</f>
        <v>24238.211549999996</v>
      </c>
      <c r="D47" s="235">
        <f t="shared" si="7"/>
        <v>403.97019249999994</v>
      </c>
      <c r="E47" s="235">
        <f t="shared" si="8"/>
        <v>203.68244999999996</v>
      </c>
      <c r="F47" s="236">
        <f t="shared" si="0"/>
        <v>607.65264249999996</v>
      </c>
      <c r="G47" s="238"/>
      <c r="H47" s="514"/>
      <c r="I47" s="234" t="s">
        <v>226</v>
      </c>
      <c r="J47" s="235">
        <f t="shared" ref="J47:J110" si="12">J46-L46</f>
        <v>2118.6601333333333</v>
      </c>
      <c r="K47" s="235">
        <f t="shared" si="9"/>
        <v>35.311002222222221</v>
      </c>
      <c r="L47" s="235">
        <f t="shared" si="10"/>
        <v>17.803866666666668</v>
      </c>
      <c r="M47" s="236">
        <f t="shared" si="1"/>
        <v>53.114868888888893</v>
      </c>
      <c r="N47" s="236"/>
      <c r="O47" s="512"/>
      <c r="P47" s="234" t="s">
        <v>226</v>
      </c>
      <c r="Q47" s="235"/>
      <c r="R47" s="235"/>
      <c r="S47" s="235"/>
      <c r="T47" s="236">
        <f t="shared" si="4"/>
        <v>0</v>
      </c>
      <c r="U47" s="236"/>
      <c r="V47" s="512"/>
      <c r="W47" s="234" t="s">
        <v>226</v>
      </c>
      <c r="X47" s="235"/>
      <c r="Y47" s="235">
        <f t="shared" si="2"/>
        <v>0</v>
      </c>
      <c r="Z47" s="235"/>
      <c r="AA47" s="236">
        <f t="shared" si="5"/>
        <v>0</v>
      </c>
      <c r="AB47" s="236"/>
      <c r="AC47" s="512"/>
      <c r="AD47" s="234" t="s">
        <v>226</v>
      </c>
      <c r="AE47" s="235"/>
      <c r="AF47" s="235">
        <f t="shared" si="3"/>
        <v>0</v>
      </c>
      <c r="AG47" s="235"/>
      <c r="AH47" s="236">
        <f t="shared" si="6"/>
        <v>0</v>
      </c>
      <c r="AI47" s="236"/>
      <c r="AK47" s="240"/>
    </row>
    <row r="48" spans="1:37" x14ac:dyDescent="0.2">
      <c r="A48" s="512"/>
      <c r="B48" s="234" t="s">
        <v>227</v>
      </c>
      <c r="C48" s="235">
        <f t="shared" si="11"/>
        <v>24034.529099999996</v>
      </c>
      <c r="D48" s="235">
        <f t="shared" si="7"/>
        <v>400.5754849999999</v>
      </c>
      <c r="E48" s="235">
        <f t="shared" si="8"/>
        <v>203.68244999999996</v>
      </c>
      <c r="F48" s="236">
        <f t="shared" si="0"/>
        <v>604.25793499999986</v>
      </c>
      <c r="G48" s="238"/>
      <c r="H48" s="514"/>
      <c r="I48" s="234" t="s">
        <v>227</v>
      </c>
      <c r="J48" s="235">
        <f t="shared" si="12"/>
        <v>2100.8562666666667</v>
      </c>
      <c r="K48" s="235">
        <f t="shared" si="9"/>
        <v>35.014271111111114</v>
      </c>
      <c r="L48" s="235">
        <f t="shared" si="10"/>
        <v>17.803866666666668</v>
      </c>
      <c r="M48" s="236">
        <f t="shared" si="1"/>
        <v>52.818137777777778</v>
      </c>
      <c r="N48" s="236"/>
      <c r="O48" s="512"/>
      <c r="P48" s="234" t="s">
        <v>227</v>
      </c>
      <c r="Q48" s="235"/>
      <c r="R48" s="235"/>
      <c r="S48" s="235"/>
      <c r="T48" s="236">
        <f t="shared" si="4"/>
        <v>0</v>
      </c>
      <c r="U48" s="236"/>
      <c r="V48" s="512"/>
      <c r="W48" s="234" t="s">
        <v>227</v>
      </c>
      <c r="X48" s="235"/>
      <c r="Y48" s="235">
        <f t="shared" si="2"/>
        <v>0</v>
      </c>
      <c r="Z48" s="235"/>
      <c r="AA48" s="236">
        <f t="shared" si="5"/>
        <v>0</v>
      </c>
      <c r="AB48" s="236"/>
      <c r="AC48" s="512"/>
      <c r="AD48" s="234" t="s">
        <v>227</v>
      </c>
      <c r="AE48" s="235"/>
      <c r="AF48" s="235">
        <f t="shared" si="3"/>
        <v>0</v>
      </c>
      <c r="AG48" s="235"/>
      <c r="AH48" s="236">
        <f t="shared" si="6"/>
        <v>0</v>
      </c>
      <c r="AI48" s="236"/>
      <c r="AK48" s="240"/>
    </row>
    <row r="49" spans="1:37" x14ac:dyDescent="0.2">
      <c r="A49" s="512"/>
      <c r="B49" s="234" t="s">
        <v>228</v>
      </c>
      <c r="C49" s="235">
        <f t="shared" si="11"/>
        <v>23830.846649999996</v>
      </c>
      <c r="D49" s="235">
        <f t="shared" si="7"/>
        <v>397.18077749999998</v>
      </c>
      <c r="E49" s="235">
        <f t="shared" si="8"/>
        <v>203.68244999999996</v>
      </c>
      <c r="F49" s="236">
        <f t="shared" si="0"/>
        <v>600.86322749999999</v>
      </c>
      <c r="G49" s="238"/>
      <c r="H49" s="514"/>
      <c r="I49" s="234" t="s">
        <v>228</v>
      </c>
      <c r="J49" s="235">
        <f t="shared" si="12"/>
        <v>2083.0524</v>
      </c>
      <c r="K49" s="235">
        <f t="shared" si="9"/>
        <v>34.717540000000007</v>
      </c>
      <c r="L49" s="235">
        <f t="shared" si="10"/>
        <v>17.803866666666668</v>
      </c>
      <c r="M49" s="236">
        <f t="shared" si="1"/>
        <v>52.521406666666678</v>
      </c>
      <c r="N49" s="236"/>
      <c r="O49" s="512"/>
      <c r="P49" s="234" t="s">
        <v>228</v>
      </c>
      <c r="Q49" s="235"/>
      <c r="R49" s="235"/>
      <c r="S49" s="235"/>
      <c r="T49" s="236">
        <f t="shared" si="4"/>
        <v>0</v>
      </c>
      <c r="U49" s="236"/>
      <c r="V49" s="512"/>
      <c r="W49" s="234" t="s">
        <v>228</v>
      </c>
      <c r="X49" s="235"/>
      <c r="Y49" s="235">
        <f t="shared" si="2"/>
        <v>0</v>
      </c>
      <c r="Z49" s="235"/>
      <c r="AA49" s="236">
        <f t="shared" si="5"/>
        <v>0</v>
      </c>
      <c r="AB49" s="236"/>
      <c r="AC49" s="512"/>
      <c r="AD49" s="234" t="s">
        <v>228</v>
      </c>
      <c r="AE49" s="235"/>
      <c r="AF49" s="235">
        <f t="shared" si="3"/>
        <v>0</v>
      </c>
      <c r="AG49" s="235"/>
      <c r="AH49" s="236">
        <f t="shared" si="6"/>
        <v>0</v>
      </c>
      <c r="AI49" s="236"/>
      <c r="AK49" s="240"/>
    </row>
    <row r="50" spans="1:37" x14ac:dyDescent="0.2">
      <c r="A50" s="512"/>
      <c r="B50" s="234" t="s">
        <v>229</v>
      </c>
      <c r="C50" s="235">
        <f t="shared" si="11"/>
        <v>23627.164199999996</v>
      </c>
      <c r="D50" s="235">
        <f t="shared" si="7"/>
        <v>393.78606999999994</v>
      </c>
      <c r="E50" s="235">
        <f t="shared" si="8"/>
        <v>203.68244999999996</v>
      </c>
      <c r="F50" s="236">
        <f t="shared" si="0"/>
        <v>597.4685199999999</v>
      </c>
      <c r="G50" s="238"/>
      <c r="H50" s="514"/>
      <c r="I50" s="234" t="s">
        <v>229</v>
      </c>
      <c r="J50" s="235">
        <f t="shared" si="12"/>
        <v>2065.2485333333334</v>
      </c>
      <c r="K50" s="235">
        <f t="shared" si="9"/>
        <v>34.420808888888892</v>
      </c>
      <c r="L50" s="235">
        <f t="shared" si="10"/>
        <v>17.803866666666668</v>
      </c>
      <c r="M50" s="236">
        <f t="shared" si="1"/>
        <v>52.224675555555564</v>
      </c>
      <c r="N50" s="236"/>
      <c r="O50" s="512"/>
      <c r="P50" s="234" t="s">
        <v>229</v>
      </c>
      <c r="Q50" s="235"/>
      <c r="R50" s="235"/>
      <c r="S50" s="235"/>
      <c r="T50" s="236">
        <f t="shared" si="4"/>
        <v>0</v>
      </c>
      <c r="U50" s="236"/>
      <c r="V50" s="512"/>
      <c r="W50" s="234" t="s">
        <v>229</v>
      </c>
      <c r="X50" s="235"/>
      <c r="Y50" s="235">
        <f t="shared" si="2"/>
        <v>0</v>
      </c>
      <c r="Z50" s="235"/>
      <c r="AA50" s="236">
        <f t="shared" si="5"/>
        <v>0</v>
      </c>
      <c r="AB50" s="236"/>
      <c r="AC50" s="512"/>
      <c r="AD50" s="234" t="s">
        <v>229</v>
      </c>
      <c r="AE50" s="235"/>
      <c r="AF50" s="235">
        <f t="shared" si="3"/>
        <v>0</v>
      </c>
      <c r="AG50" s="235"/>
      <c r="AH50" s="236">
        <f t="shared" si="6"/>
        <v>0</v>
      </c>
      <c r="AI50" s="236"/>
      <c r="AK50" s="240"/>
    </row>
    <row r="51" spans="1:37" x14ac:dyDescent="0.2">
      <c r="A51" s="512"/>
      <c r="B51" s="234" t="s">
        <v>230</v>
      </c>
      <c r="C51" s="235">
        <f t="shared" si="11"/>
        <v>23423.481749999995</v>
      </c>
      <c r="D51" s="235">
        <f t="shared" si="7"/>
        <v>390.39136249999996</v>
      </c>
      <c r="E51" s="235">
        <f t="shared" si="8"/>
        <v>203.68244999999996</v>
      </c>
      <c r="F51" s="236">
        <f t="shared" si="0"/>
        <v>594.07381249999992</v>
      </c>
      <c r="G51" s="238"/>
      <c r="H51" s="514"/>
      <c r="I51" s="234" t="s">
        <v>230</v>
      </c>
      <c r="J51" s="235">
        <f t="shared" si="12"/>
        <v>2047.4446666666668</v>
      </c>
      <c r="K51" s="235">
        <f t="shared" si="9"/>
        <v>34.124077777777778</v>
      </c>
      <c r="L51" s="235">
        <f t="shared" si="10"/>
        <v>17.803866666666668</v>
      </c>
      <c r="M51" s="236">
        <f t="shared" si="1"/>
        <v>51.927944444444449</v>
      </c>
      <c r="N51" s="236"/>
      <c r="O51" s="512"/>
      <c r="P51" s="234" t="s">
        <v>230</v>
      </c>
      <c r="Q51" s="235"/>
      <c r="R51" s="235"/>
      <c r="S51" s="235"/>
      <c r="T51" s="236">
        <f t="shared" si="4"/>
        <v>0</v>
      </c>
      <c r="U51" s="236"/>
      <c r="V51" s="512"/>
      <c r="W51" s="234" t="s">
        <v>230</v>
      </c>
      <c r="X51" s="235"/>
      <c r="Y51" s="235">
        <f t="shared" si="2"/>
        <v>0</v>
      </c>
      <c r="Z51" s="235"/>
      <c r="AA51" s="236">
        <f t="shared" si="5"/>
        <v>0</v>
      </c>
      <c r="AB51" s="236"/>
      <c r="AC51" s="512"/>
      <c r="AD51" s="234" t="s">
        <v>230</v>
      </c>
      <c r="AE51" s="235"/>
      <c r="AF51" s="235">
        <f t="shared" si="3"/>
        <v>0</v>
      </c>
      <c r="AG51" s="235"/>
      <c r="AH51" s="236">
        <f t="shared" si="6"/>
        <v>0</v>
      </c>
      <c r="AI51" s="236"/>
      <c r="AK51" s="240"/>
    </row>
    <row r="52" spans="1:37" x14ac:dyDescent="0.2">
      <c r="A52" s="512"/>
      <c r="B52" s="234" t="s">
        <v>231</v>
      </c>
      <c r="C52" s="235">
        <f t="shared" si="11"/>
        <v>23219.799299999995</v>
      </c>
      <c r="D52" s="235">
        <f t="shared" si="7"/>
        <v>386.99665499999992</v>
      </c>
      <c r="E52" s="235">
        <f t="shared" si="8"/>
        <v>203.68244999999996</v>
      </c>
      <c r="F52" s="236">
        <f t="shared" si="0"/>
        <v>590.67910499999994</v>
      </c>
      <c r="G52" s="238"/>
      <c r="H52" s="514"/>
      <c r="I52" s="234" t="s">
        <v>231</v>
      </c>
      <c r="J52" s="235">
        <f t="shared" si="12"/>
        <v>2029.6408000000001</v>
      </c>
      <c r="K52" s="235">
        <f t="shared" si="9"/>
        <v>33.827346666666671</v>
      </c>
      <c r="L52" s="235">
        <f t="shared" si="10"/>
        <v>17.803866666666668</v>
      </c>
      <c r="M52" s="236">
        <f t="shared" si="1"/>
        <v>51.631213333333335</v>
      </c>
      <c r="N52" s="236"/>
      <c r="O52" s="512"/>
      <c r="P52" s="234" t="s">
        <v>231</v>
      </c>
      <c r="Q52" s="235"/>
      <c r="R52" s="235"/>
      <c r="S52" s="235"/>
      <c r="T52" s="236">
        <f t="shared" si="4"/>
        <v>0</v>
      </c>
      <c r="U52" s="236"/>
      <c r="V52" s="512"/>
      <c r="W52" s="234" t="s">
        <v>231</v>
      </c>
      <c r="X52" s="235"/>
      <c r="Y52" s="235">
        <f t="shared" si="2"/>
        <v>0</v>
      </c>
      <c r="Z52" s="235"/>
      <c r="AA52" s="236">
        <f t="shared" si="5"/>
        <v>0</v>
      </c>
      <c r="AB52" s="236"/>
      <c r="AC52" s="512"/>
      <c r="AD52" s="234" t="s">
        <v>231</v>
      </c>
      <c r="AE52" s="235"/>
      <c r="AF52" s="235">
        <f t="shared" si="3"/>
        <v>0</v>
      </c>
      <c r="AG52" s="235"/>
      <c r="AH52" s="236">
        <f t="shared" si="6"/>
        <v>0</v>
      </c>
      <c r="AI52" s="236"/>
      <c r="AK52" s="240"/>
    </row>
    <row r="53" spans="1:37" x14ac:dyDescent="0.2">
      <c r="A53" s="512"/>
      <c r="B53" s="234" t="s">
        <v>232</v>
      </c>
      <c r="C53" s="235">
        <f t="shared" si="11"/>
        <v>23016.116849999995</v>
      </c>
      <c r="D53" s="235">
        <f t="shared" si="7"/>
        <v>383.60194749999988</v>
      </c>
      <c r="E53" s="235">
        <f t="shared" si="8"/>
        <v>203.68244999999996</v>
      </c>
      <c r="F53" s="236">
        <f t="shared" si="0"/>
        <v>587.28439749999984</v>
      </c>
      <c r="G53" s="238"/>
      <c r="H53" s="514"/>
      <c r="I53" s="234" t="s">
        <v>232</v>
      </c>
      <c r="J53" s="235">
        <f t="shared" si="12"/>
        <v>2011.8369333333335</v>
      </c>
      <c r="K53" s="235">
        <f t="shared" si="9"/>
        <v>33.530615555555563</v>
      </c>
      <c r="L53" s="235">
        <f t="shared" si="10"/>
        <v>17.803866666666668</v>
      </c>
      <c r="M53" s="236">
        <f t="shared" si="1"/>
        <v>51.334482222222235</v>
      </c>
      <c r="N53" s="236"/>
      <c r="O53" s="512"/>
      <c r="P53" s="234" t="s">
        <v>232</v>
      </c>
      <c r="Q53" s="235"/>
      <c r="R53" s="235"/>
      <c r="S53" s="235"/>
      <c r="T53" s="236">
        <f t="shared" si="4"/>
        <v>0</v>
      </c>
      <c r="U53" s="236"/>
      <c r="V53" s="512"/>
      <c r="W53" s="234" t="s">
        <v>232</v>
      </c>
      <c r="X53" s="235"/>
      <c r="Y53" s="235">
        <f t="shared" si="2"/>
        <v>0</v>
      </c>
      <c r="Z53" s="235"/>
      <c r="AA53" s="236">
        <f t="shared" si="5"/>
        <v>0</v>
      </c>
      <c r="AB53" s="236"/>
      <c r="AC53" s="512"/>
      <c r="AD53" s="234" t="s">
        <v>232</v>
      </c>
      <c r="AE53" s="235"/>
      <c r="AF53" s="235">
        <f t="shared" si="3"/>
        <v>0</v>
      </c>
      <c r="AG53" s="235"/>
      <c r="AH53" s="236">
        <f t="shared" si="6"/>
        <v>0</v>
      </c>
      <c r="AI53" s="236"/>
      <c r="AK53" s="240"/>
    </row>
    <row r="54" spans="1:37" x14ac:dyDescent="0.2">
      <c r="A54" s="512"/>
      <c r="B54" s="234" t="s">
        <v>233</v>
      </c>
      <c r="C54" s="235">
        <f t="shared" si="11"/>
        <v>22812.434399999995</v>
      </c>
      <c r="D54" s="235">
        <f t="shared" si="7"/>
        <v>380.20723999999996</v>
      </c>
      <c r="E54" s="235">
        <f t="shared" si="8"/>
        <v>203.68244999999996</v>
      </c>
      <c r="F54" s="236">
        <f t="shared" si="0"/>
        <v>583.88968999999997</v>
      </c>
      <c r="G54" s="238"/>
      <c r="H54" s="514"/>
      <c r="I54" s="234" t="s">
        <v>233</v>
      </c>
      <c r="J54" s="235">
        <f t="shared" si="12"/>
        <v>1994.0330666666669</v>
      </c>
      <c r="K54" s="235">
        <f t="shared" si="9"/>
        <v>33.233884444444449</v>
      </c>
      <c r="L54" s="235">
        <f t="shared" si="10"/>
        <v>17.803866666666668</v>
      </c>
      <c r="M54" s="236">
        <f t="shared" si="1"/>
        <v>51.03775111111112</v>
      </c>
      <c r="N54" s="236"/>
      <c r="O54" s="512"/>
      <c r="P54" s="234" t="s">
        <v>233</v>
      </c>
      <c r="Q54" s="235"/>
      <c r="R54" s="235"/>
      <c r="S54" s="235"/>
      <c r="T54" s="236">
        <f t="shared" si="4"/>
        <v>0</v>
      </c>
      <c r="U54" s="236"/>
      <c r="V54" s="512"/>
      <c r="W54" s="234" t="s">
        <v>233</v>
      </c>
      <c r="X54" s="235"/>
      <c r="Y54" s="235">
        <f t="shared" si="2"/>
        <v>0</v>
      </c>
      <c r="Z54" s="235"/>
      <c r="AA54" s="236">
        <f t="shared" si="5"/>
        <v>0</v>
      </c>
      <c r="AB54" s="236"/>
      <c r="AC54" s="512"/>
      <c r="AD54" s="234" t="s">
        <v>233</v>
      </c>
      <c r="AE54" s="235"/>
      <c r="AF54" s="235">
        <f t="shared" si="3"/>
        <v>0</v>
      </c>
      <c r="AG54" s="235"/>
      <c r="AH54" s="236">
        <f t="shared" si="6"/>
        <v>0</v>
      </c>
      <c r="AI54" s="236"/>
      <c r="AK54" s="240"/>
    </row>
    <row r="55" spans="1:37" x14ac:dyDescent="0.2">
      <c r="A55" s="512"/>
      <c r="B55" s="234" t="s">
        <v>234</v>
      </c>
      <c r="C55" s="235">
        <f t="shared" si="11"/>
        <v>22608.751949999994</v>
      </c>
      <c r="D55" s="235">
        <f t="shared" si="7"/>
        <v>376.81253249999992</v>
      </c>
      <c r="E55" s="235">
        <f t="shared" si="8"/>
        <v>203.68244999999996</v>
      </c>
      <c r="F55" s="236">
        <f t="shared" si="0"/>
        <v>580.49498249999988</v>
      </c>
      <c r="G55" s="238"/>
      <c r="H55" s="514"/>
      <c r="I55" s="234" t="s">
        <v>234</v>
      </c>
      <c r="J55" s="235">
        <f t="shared" si="12"/>
        <v>1976.2292000000002</v>
      </c>
      <c r="K55" s="235">
        <f t="shared" si="9"/>
        <v>32.937153333333335</v>
      </c>
      <c r="L55" s="235">
        <f t="shared" si="10"/>
        <v>17.803866666666668</v>
      </c>
      <c r="M55" s="236">
        <f t="shared" si="1"/>
        <v>50.741020000000006</v>
      </c>
      <c r="N55" s="236"/>
      <c r="O55" s="512"/>
      <c r="P55" s="234" t="s">
        <v>234</v>
      </c>
      <c r="Q55" s="235"/>
      <c r="R55" s="235"/>
      <c r="S55" s="235"/>
      <c r="T55" s="236">
        <f t="shared" si="4"/>
        <v>0</v>
      </c>
      <c r="U55" s="236"/>
      <c r="V55" s="512"/>
      <c r="W55" s="234" t="s">
        <v>234</v>
      </c>
      <c r="X55" s="235"/>
      <c r="Y55" s="235">
        <f t="shared" si="2"/>
        <v>0</v>
      </c>
      <c r="Z55" s="235"/>
      <c r="AA55" s="236">
        <f t="shared" si="5"/>
        <v>0</v>
      </c>
      <c r="AB55" s="236"/>
      <c r="AC55" s="512"/>
      <c r="AD55" s="234" t="s">
        <v>234</v>
      </c>
      <c r="AE55" s="235"/>
      <c r="AF55" s="235">
        <f t="shared" si="3"/>
        <v>0</v>
      </c>
      <c r="AG55" s="235"/>
      <c r="AH55" s="236">
        <f t="shared" si="6"/>
        <v>0</v>
      </c>
      <c r="AI55" s="236"/>
      <c r="AK55" s="240"/>
    </row>
    <row r="56" spans="1:37" x14ac:dyDescent="0.2">
      <c r="A56" s="512"/>
      <c r="B56" s="234" t="s">
        <v>235</v>
      </c>
      <c r="C56" s="235">
        <f t="shared" si="11"/>
        <v>22405.069499999994</v>
      </c>
      <c r="D56" s="235">
        <f t="shared" si="7"/>
        <v>373.41782499999994</v>
      </c>
      <c r="E56" s="235">
        <f t="shared" si="8"/>
        <v>203.68244999999996</v>
      </c>
      <c r="F56" s="236">
        <f t="shared" si="0"/>
        <v>577.1002749999999</v>
      </c>
      <c r="G56" s="238"/>
      <c r="H56" s="514"/>
      <c r="I56" s="234" t="s">
        <v>235</v>
      </c>
      <c r="J56" s="235">
        <f t="shared" si="12"/>
        <v>1958.4253333333336</v>
      </c>
      <c r="K56" s="235">
        <f t="shared" si="9"/>
        <v>32.640422222222227</v>
      </c>
      <c r="L56" s="235">
        <f t="shared" si="10"/>
        <v>17.803866666666668</v>
      </c>
      <c r="M56" s="236">
        <f t="shared" si="1"/>
        <v>50.444288888888892</v>
      </c>
      <c r="N56" s="236"/>
      <c r="O56" s="512"/>
      <c r="P56" s="234" t="s">
        <v>235</v>
      </c>
      <c r="Q56" s="235"/>
      <c r="R56" s="235"/>
      <c r="S56" s="235"/>
      <c r="T56" s="236">
        <f t="shared" si="4"/>
        <v>0</v>
      </c>
      <c r="U56" s="236"/>
      <c r="V56" s="512"/>
      <c r="W56" s="234" t="s">
        <v>235</v>
      </c>
      <c r="X56" s="235"/>
      <c r="Y56" s="235">
        <f t="shared" si="2"/>
        <v>0</v>
      </c>
      <c r="Z56" s="235"/>
      <c r="AA56" s="236">
        <f t="shared" si="5"/>
        <v>0</v>
      </c>
      <c r="AB56" s="236"/>
      <c r="AC56" s="512"/>
      <c r="AD56" s="234" t="s">
        <v>235</v>
      </c>
      <c r="AE56" s="235"/>
      <c r="AF56" s="235">
        <f t="shared" si="3"/>
        <v>0</v>
      </c>
      <c r="AG56" s="235"/>
      <c r="AH56" s="236">
        <f t="shared" si="6"/>
        <v>0</v>
      </c>
      <c r="AI56" s="236"/>
      <c r="AK56" s="240"/>
    </row>
    <row r="57" spans="1:37" x14ac:dyDescent="0.2">
      <c r="A57" s="512"/>
      <c r="B57" s="234" t="s">
        <v>236</v>
      </c>
      <c r="C57" s="235">
        <f t="shared" si="11"/>
        <v>22201.387049999994</v>
      </c>
      <c r="D57" s="235">
        <f t="shared" si="7"/>
        <v>370.0231174999999</v>
      </c>
      <c r="E57" s="235">
        <f t="shared" si="8"/>
        <v>203.68244999999996</v>
      </c>
      <c r="F57" s="236">
        <f t="shared" si="0"/>
        <v>573.70556749999992</v>
      </c>
      <c r="G57" s="239">
        <f>SUM(D46:D57)</f>
        <v>4664.3281049999987</v>
      </c>
      <c r="H57" s="515"/>
      <c r="I57" s="234" t="s">
        <v>236</v>
      </c>
      <c r="J57" s="235">
        <f t="shared" si="12"/>
        <v>1940.6214666666669</v>
      </c>
      <c r="K57" s="235">
        <f t="shared" si="9"/>
        <v>32.34369111111112</v>
      </c>
      <c r="L57" s="235">
        <f t="shared" si="10"/>
        <v>17.803866666666668</v>
      </c>
      <c r="M57" s="236">
        <f t="shared" si="1"/>
        <v>50.147557777777791</v>
      </c>
      <c r="N57" s="239">
        <f>SUM(K46:K57)</f>
        <v>407.70854666666679</v>
      </c>
      <c r="O57" s="512"/>
      <c r="P57" s="234" t="s">
        <v>236</v>
      </c>
      <c r="Q57" s="235"/>
      <c r="R57" s="235"/>
      <c r="S57" s="235"/>
      <c r="T57" s="236">
        <f t="shared" si="4"/>
        <v>0</v>
      </c>
      <c r="U57" s="239">
        <f>SUM(R46:R57)</f>
        <v>0</v>
      </c>
      <c r="V57" s="512"/>
      <c r="W57" s="234" t="s">
        <v>236</v>
      </c>
      <c r="X57" s="235"/>
      <c r="Y57" s="235">
        <f t="shared" si="2"/>
        <v>0</v>
      </c>
      <c r="Z57" s="235"/>
      <c r="AA57" s="236">
        <f t="shared" si="5"/>
        <v>0</v>
      </c>
      <c r="AB57" s="239">
        <f>SUM(Y46:Y57)</f>
        <v>0</v>
      </c>
      <c r="AC57" s="512"/>
      <c r="AD57" s="234" t="s">
        <v>236</v>
      </c>
      <c r="AE57" s="235"/>
      <c r="AF57" s="235">
        <f t="shared" si="3"/>
        <v>0</v>
      </c>
      <c r="AG57" s="235"/>
      <c r="AH57" s="236">
        <f t="shared" si="6"/>
        <v>0</v>
      </c>
      <c r="AI57" s="239">
        <f>SUM(AF46:AF57)</f>
        <v>0</v>
      </c>
      <c r="AJ57" s="208">
        <f>AJ45+1</f>
        <v>2025</v>
      </c>
      <c r="AK57" s="240">
        <f>G57+N57+U57+AB57+AI57</f>
        <v>5072.0366516666654</v>
      </c>
    </row>
    <row r="58" spans="1:37" x14ac:dyDescent="0.2">
      <c r="A58" s="512">
        <f>A46+1</f>
        <v>2026</v>
      </c>
      <c r="B58" s="234" t="s">
        <v>225</v>
      </c>
      <c r="C58" s="235">
        <f t="shared" si="11"/>
        <v>21997.704599999994</v>
      </c>
      <c r="D58" s="235">
        <f t="shared" si="7"/>
        <v>366.62840999999986</v>
      </c>
      <c r="E58" s="235">
        <f t="shared" si="8"/>
        <v>203.68244999999996</v>
      </c>
      <c r="F58" s="236">
        <f t="shared" si="0"/>
        <v>570.31085999999982</v>
      </c>
      <c r="G58" s="237"/>
      <c r="H58" s="513">
        <f>H46+1</f>
        <v>2026</v>
      </c>
      <c r="I58" s="234" t="s">
        <v>225</v>
      </c>
      <c r="J58" s="235">
        <f t="shared" si="12"/>
        <v>1922.8176000000003</v>
      </c>
      <c r="K58" s="235">
        <f t="shared" si="9"/>
        <v>32.046960000000006</v>
      </c>
      <c r="L58" s="235">
        <f t="shared" si="10"/>
        <v>17.803866666666668</v>
      </c>
      <c r="M58" s="236">
        <f t="shared" si="1"/>
        <v>49.850826666666677</v>
      </c>
      <c r="N58" s="236"/>
      <c r="O58" s="512">
        <f>O46+1</f>
        <v>2026</v>
      </c>
      <c r="P58" s="234" t="s">
        <v>225</v>
      </c>
      <c r="Q58" s="235"/>
      <c r="R58" s="235"/>
      <c r="S58" s="235"/>
      <c r="T58" s="236">
        <f t="shared" si="4"/>
        <v>0</v>
      </c>
      <c r="U58" s="236"/>
      <c r="V58" s="512">
        <f>V46+1</f>
        <v>2025</v>
      </c>
      <c r="W58" s="234" t="s">
        <v>225</v>
      </c>
      <c r="X58" s="235"/>
      <c r="Y58" s="235">
        <f t="shared" si="2"/>
        <v>0</v>
      </c>
      <c r="Z58" s="235"/>
      <c r="AA58" s="236">
        <f t="shared" si="5"/>
        <v>0</v>
      </c>
      <c r="AB58" s="236"/>
      <c r="AC58" s="512">
        <f>AC46+1</f>
        <v>2025</v>
      </c>
      <c r="AD58" s="234" t="s">
        <v>225</v>
      </c>
      <c r="AE58" s="235"/>
      <c r="AF58" s="235">
        <f t="shared" si="3"/>
        <v>0</v>
      </c>
      <c r="AG58" s="235"/>
      <c r="AH58" s="236">
        <f t="shared" si="6"/>
        <v>0</v>
      </c>
      <c r="AI58" s="236"/>
      <c r="AK58" s="240"/>
    </row>
    <row r="59" spans="1:37" x14ac:dyDescent="0.2">
      <c r="A59" s="512"/>
      <c r="B59" s="234" t="s">
        <v>226</v>
      </c>
      <c r="C59" s="235">
        <f t="shared" si="11"/>
        <v>21794.022149999993</v>
      </c>
      <c r="D59" s="235">
        <f t="shared" si="7"/>
        <v>363.23370249999994</v>
      </c>
      <c r="E59" s="235">
        <f t="shared" si="8"/>
        <v>203.68244999999996</v>
      </c>
      <c r="F59" s="236">
        <f t="shared" si="0"/>
        <v>566.91615249999995</v>
      </c>
      <c r="G59" s="238"/>
      <c r="H59" s="514"/>
      <c r="I59" s="234" t="s">
        <v>226</v>
      </c>
      <c r="J59" s="235">
        <f t="shared" si="12"/>
        <v>1905.0137333333337</v>
      </c>
      <c r="K59" s="235">
        <f t="shared" si="9"/>
        <v>31.750228888888898</v>
      </c>
      <c r="L59" s="235">
        <f t="shared" si="10"/>
        <v>17.803866666666668</v>
      </c>
      <c r="M59" s="236">
        <f t="shared" si="1"/>
        <v>49.554095555555563</v>
      </c>
      <c r="N59" s="236"/>
      <c r="O59" s="512"/>
      <c r="P59" s="234" t="s">
        <v>226</v>
      </c>
      <c r="Q59" s="235"/>
      <c r="R59" s="235"/>
      <c r="S59" s="235"/>
      <c r="T59" s="236">
        <f t="shared" si="4"/>
        <v>0</v>
      </c>
      <c r="U59" s="236"/>
      <c r="V59" s="512"/>
      <c r="W59" s="234" t="s">
        <v>226</v>
      </c>
      <c r="X59" s="235"/>
      <c r="Y59" s="235">
        <f t="shared" si="2"/>
        <v>0</v>
      </c>
      <c r="Z59" s="235"/>
      <c r="AA59" s="236">
        <f t="shared" si="5"/>
        <v>0</v>
      </c>
      <c r="AB59" s="236"/>
      <c r="AC59" s="512"/>
      <c r="AD59" s="234" t="s">
        <v>226</v>
      </c>
      <c r="AE59" s="235"/>
      <c r="AF59" s="235">
        <f t="shared" si="3"/>
        <v>0</v>
      </c>
      <c r="AG59" s="235"/>
      <c r="AH59" s="236">
        <f t="shared" si="6"/>
        <v>0</v>
      </c>
      <c r="AI59" s="236"/>
      <c r="AK59" s="240"/>
    </row>
    <row r="60" spans="1:37" x14ac:dyDescent="0.2">
      <c r="A60" s="512"/>
      <c r="B60" s="234" t="s">
        <v>227</v>
      </c>
      <c r="C60" s="235">
        <f t="shared" si="11"/>
        <v>21590.339699999993</v>
      </c>
      <c r="D60" s="235">
        <f t="shared" si="7"/>
        <v>359.8389949999999</v>
      </c>
      <c r="E60" s="235">
        <f t="shared" si="8"/>
        <v>203.68244999999996</v>
      </c>
      <c r="F60" s="236">
        <f t="shared" si="0"/>
        <v>563.52144499999986</v>
      </c>
      <c r="G60" s="238"/>
      <c r="H60" s="514"/>
      <c r="I60" s="234" t="s">
        <v>227</v>
      </c>
      <c r="J60" s="235">
        <f t="shared" si="12"/>
        <v>1887.209866666667</v>
      </c>
      <c r="K60" s="235">
        <f t="shared" si="9"/>
        <v>31.453497777777784</v>
      </c>
      <c r="L60" s="235">
        <f t="shared" si="10"/>
        <v>17.803866666666668</v>
      </c>
      <c r="M60" s="236">
        <f t="shared" si="1"/>
        <v>49.257364444444448</v>
      </c>
      <c r="N60" s="236"/>
      <c r="O60" s="512"/>
      <c r="P60" s="234" t="s">
        <v>227</v>
      </c>
      <c r="Q60" s="235"/>
      <c r="R60" s="235"/>
      <c r="S60" s="235"/>
      <c r="T60" s="236">
        <f t="shared" si="4"/>
        <v>0</v>
      </c>
      <c r="U60" s="236"/>
      <c r="V60" s="512"/>
      <c r="W60" s="234" t="s">
        <v>227</v>
      </c>
      <c r="X60" s="235"/>
      <c r="Y60" s="235">
        <f t="shared" si="2"/>
        <v>0</v>
      </c>
      <c r="Z60" s="235"/>
      <c r="AA60" s="236">
        <f t="shared" si="5"/>
        <v>0</v>
      </c>
      <c r="AB60" s="236"/>
      <c r="AC60" s="512"/>
      <c r="AD60" s="234" t="s">
        <v>227</v>
      </c>
      <c r="AE60" s="235"/>
      <c r="AF60" s="235">
        <f t="shared" si="3"/>
        <v>0</v>
      </c>
      <c r="AG60" s="235"/>
      <c r="AH60" s="236">
        <f t="shared" si="6"/>
        <v>0</v>
      </c>
      <c r="AI60" s="236"/>
      <c r="AK60" s="240"/>
    </row>
    <row r="61" spans="1:37" x14ac:dyDescent="0.2">
      <c r="A61" s="512"/>
      <c r="B61" s="234" t="s">
        <v>228</v>
      </c>
      <c r="C61" s="235">
        <f t="shared" si="11"/>
        <v>21386.657249999993</v>
      </c>
      <c r="D61" s="235">
        <f t="shared" si="7"/>
        <v>356.44428749999992</v>
      </c>
      <c r="E61" s="235">
        <f t="shared" si="8"/>
        <v>203.68244999999996</v>
      </c>
      <c r="F61" s="236">
        <f t="shared" si="0"/>
        <v>560.12673749999988</v>
      </c>
      <c r="G61" s="238"/>
      <c r="H61" s="514"/>
      <c r="I61" s="234" t="s">
        <v>228</v>
      </c>
      <c r="J61" s="235">
        <f t="shared" si="12"/>
        <v>1869.4060000000004</v>
      </c>
      <c r="K61" s="235">
        <f t="shared" si="9"/>
        <v>31.156766666666673</v>
      </c>
      <c r="L61" s="235">
        <f t="shared" si="10"/>
        <v>17.803866666666668</v>
      </c>
      <c r="M61" s="236">
        <f t="shared" si="1"/>
        <v>48.960633333333341</v>
      </c>
      <c r="N61" s="236"/>
      <c r="O61" s="512"/>
      <c r="P61" s="234" t="s">
        <v>228</v>
      </c>
      <c r="Q61" s="235"/>
      <c r="R61" s="235"/>
      <c r="S61" s="235"/>
      <c r="T61" s="236">
        <f t="shared" si="4"/>
        <v>0</v>
      </c>
      <c r="U61" s="236"/>
      <c r="V61" s="512"/>
      <c r="W61" s="234" t="s">
        <v>228</v>
      </c>
      <c r="X61" s="235"/>
      <c r="Y61" s="235">
        <f t="shared" si="2"/>
        <v>0</v>
      </c>
      <c r="Z61" s="235"/>
      <c r="AA61" s="236">
        <f t="shared" si="5"/>
        <v>0</v>
      </c>
      <c r="AB61" s="236"/>
      <c r="AC61" s="512"/>
      <c r="AD61" s="234" t="s">
        <v>228</v>
      </c>
      <c r="AE61" s="235"/>
      <c r="AF61" s="235">
        <f t="shared" si="3"/>
        <v>0</v>
      </c>
      <c r="AG61" s="235"/>
      <c r="AH61" s="236">
        <f t="shared" si="6"/>
        <v>0</v>
      </c>
      <c r="AI61" s="236"/>
      <c r="AK61" s="240"/>
    </row>
    <row r="62" spans="1:37" x14ac:dyDescent="0.2">
      <c r="A62" s="512"/>
      <c r="B62" s="234" t="s">
        <v>229</v>
      </c>
      <c r="C62" s="235">
        <f t="shared" si="11"/>
        <v>21182.974799999993</v>
      </c>
      <c r="D62" s="235">
        <f t="shared" si="7"/>
        <v>353.04957999999988</v>
      </c>
      <c r="E62" s="235">
        <f t="shared" si="8"/>
        <v>203.68244999999996</v>
      </c>
      <c r="F62" s="236">
        <f t="shared" si="0"/>
        <v>556.7320299999999</v>
      </c>
      <c r="G62" s="238"/>
      <c r="H62" s="514"/>
      <c r="I62" s="234" t="s">
        <v>229</v>
      </c>
      <c r="J62" s="235">
        <f t="shared" si="12"/>
        <v>1851.6021333333338</v>
      </c>
      <c r="K62" s="235">
        <f t="shared" si="9"/>
        <v>30.860035555555566</v>
      </c>
      <c r="L62" s="235">
        <f t="shared" si="10"/>
        <v>17.803866666666668</v>
      </c>
      <c r="M62" s="236">
        <f t="shared" si="1"/>
        <v>48.663902222222234</v>
      </c>
      <c r="N62" s="236"/>
      <c r="O62" s="512"/>
      <c r="P62" s="234" t="s">
        <v>229</v>
      </c>
      <c r="Q62" s="235"/>
      <c r="R62" s="235"/>
      <c r="S62" s="235"/>
      <c r="T62" s="236">
        <f t="shared" si="4"/>
        <v>0</v>
      </c>
      <c r="U62" s="236"/>
      <c r="V62" s="512"/>
      <c r="W62" s="234" t="s">
        <v>229</v>
      </c>
      <c r="X62" s="235"/>
      <c r="Y62" s="235">
        <f t="shared" si="2"/>
        <v>0</v>
      </c>
      <c r="Z62" s="235"/>
      <c r="AA62" s="236">
        <f t="shared" si="5"/>
        <v>0</v>
      </c>
      <c r="AB62" s="236"/>
      <c r="AC62" s="512"/>
      <c r="AD62" s="234" t="s">
        <v>229</v>
      </c>
      <c r="AE62" s="235"/>
      <c r="AF62" s="235">
        <f t="shared" si="3"/>
        <v>0</v>
      </c>
      <c r="AG62" s="235"/>
      <c r="AH62" s="236">
        <f t="shared" si="6"/>
        <v>0</v>
      </c>
      <c r="AI62" s="236"/>
      <c r="AK62" s="240"/>
    </row>
    <row r="63" spans="1:37" x14ac:dyDescent="0.2">
      <c r="A63" s="512"/>
      <c r="B63" s="234" t="s">
        <v>230</v>
      </c>
      <c r="C63" s="235">
        <f t="shared" si="11"/>
        <v>20979.292349999992</v>
      </c>
      <c r="D63" s="235">
        <f t="shared" si="7"/>
        <v>349.65487249999984</v>
      </c>
      <c r="E63" s="235">
        <f t="shared" si="8"/>
        <v>203.68244999999996</v>
      </c>
      <c r="F63" s="236">
        <f t="shared" si="0"/>
        <v>553.3373224999998</v>
      </c>
      <c r="G63" s="238"/>
      <c r="H63" s="514"/>
      <c r="I63" s="234" t="s">
        <v>230</v>
      </c>
      <c r="J63" s="235">
        <f t="shared" si="12"/>
        <v>1833.7982666666671</v>
      </c>
      <c r="K63" s="235">
        <f t="shared" si="9"/>
        <v>30.563304444444455</v>
      </c>
      <c r="L63" s="235">
        <f t="shared" si="10"/>
        <v>17.803866666666668</v>
      </c>
      <c r="M63" s="236">
        <f t="shared" si="1"/>
        <v>48.367171111111119</v>
      </c>
      <c r="N63" s="236"/>
      <c r="O63" s="512"/>
      <c r="P63" s="234" t="s">
        <v>230</v>
      </c>
      <c r="Q63" s="235"/>
      <c r="R63" s="235"/>
      <c r="S63" s="235"/>
      <c r="T63" s="236">
        <f t="shared" si="4"/>
        <v>0</v>
      </c>
      <c r="U63" s="236"/>
      <c r="V63" s="512"/>
      <c r="W63" s="234" t="s">
        <v>230</v>
      </c>
      <c r="X63" s="235"/>
      <c r="Y63" s="235">
        <f t="shared" si="2"/>
        <v>0</v>
      </c>
      <c r="Z63" s="235"/>
      <c r="AA63" s="236">
        <f t="shared" si="5"/>
        <v>0</v>
      </c>
      <c r="AB63" s="236"/>
      <c r="AC63" s="512"/>
      <c r="AD63" s="234" t="s">
        <v>230</v>
      </c>
      <c r="AE63" s="235"/>
      <c r="AF63" s="235">
        <f t="shared" si="3"/>
        <v>0</v>
      </c>
      <c r="AG63" s="235"/>
      <c r="AH63" s="236">
        <f t="shared" si="6"/>
        <v>0</v>
      </c>
      <c r="AI63" s="236"/>
      <c r="AK63" s="240"/>
    </row>
    <row r="64" spans="1:37" x14ac:dyDescent="0.2">
      <c r="A64" s="512"/>
      <c r="B64" s="234" t="s">
        <v>231</v>
      </c>
      <c r="C64" s="235">
        <f t="shared" si="11"/>
        <v>20775.609899999992</v>
      </c>
      <c r="D64" s="235">
        <f t="shared" si="7"/>
        <v>346.26016499999992</v>
      </c>
      <c r="E64" s="235">
        <f t="shared" si="8"/>
        <v>203.68244999999996</v>
      </c>
      <c r="F64" s="236">
        <f t="shared" si="0"/>
        <v>549.94261499999993</v>
      </c>
      <c r="G64" s="238"/>
      <c r="H64" s="514"/>
      <c r="I64" s="234" t="s">
        <v>231</v>
      </c>
      <c r="J64" s="235">
        <f t="shared" si="12"/>
        <v>1815.9944000000005</v>
      </c>
      <c r="K64" s="235">
        <f t="shared" si="9"/>
        <v>30.266573333333344</v>
      </c>
      <c r="L64" s="235">
        <f t="shared" si="10"/>
        <v>17.803866666666668</v>
      </c>
      <c r="M64" s="236">
        <f t="shared" si="1"/>
        <v>48.070440000000012</v>
      </c>
      <c r="N64" s="236"/>
      <c r="O64" s="512"/>
      <c r="P64" s="234" t="s">
        <v>231</v>
      </c>
      <c r="Q64" s="235"/>
      <c r="R64" s="235"/>
      <c r="S64" s="235"/>
      <c r="T64" s="236">
        <f t="shared" si="4"/>
        <v>0</v>
      </c>
      <c r="U64" s="236"/>
      <c r="V64" s="512"/>
      <c r="W64" s="234" t="s">
        <v>231</v>
      </c>
      <c r="X64" s="235"/>
      <c r="Y64" s="235">
        <f t="shared" si="2"/>
        <v>0</v>
      </c>
      <c r="Z64" s="235"/>
      <c r="AA64" s="236">
        <f t="shared" si="5"/>
        <v>0</v>
      </c>
      <c r="AB64" s="236"/>
      <c r="AC64" s="512"/>
      <c r="AD64" s="234" t="s">
        <v>231</v>
      </c>
      <c r="AE64" s="235"/>
      <c r="AF64" s="235">
        <f t="shared" si="3"/>
        <v>0</v>
      </c>
      <c r="AG64" s="235"/>
      <c r="AH64" s="236">
        <f t="shared" si="6"/>
        <v>0</v>
      </c>
      <c r="AI64" s="236"/>
      <c r="AK64" s="240"/>
    </row>
    <row r="65" spans="1:37" x14ac:dyDescent="0.2">
      <c r="A65" s="512"/>
      <c r="B65" s="234" t="s">
        <v>232</v>
      </c>
      <c r="C65" s="235">
        <f t="shared" si="11"/>
        <v>20571.927449999992</v>
      </c>
      <c r="D65" s="235">
        <f t="shared" si="7"/>
        <v>342.86545749999988</v>
      </c>
      <c r="E65" s="235">
        <f t="shared" si="8"/>
        <v>203.68244999999996</v>
      </c>
      <c r="F65" s="236">
        <f t="shared" si="0"/>
        <v>546.54790749999984</v>
      </c>
      <c r="G65" s="238"/>
      <c r="H65" s="514"/>
      <c r="I65" s="234" t="s">
        <v>232</v>
      </c>
      <c r="J65" s="235">
        <f t="shared" si="12"/>
        <v>1798.1905333333339</v>
      </c>
      <c r="K65" s="235">
        <f t="shared" si="9"/>
        <v>29.96984222222223</v>
      </c>
      <c r="L65" s="235">
        <f t="shared" si="10"/>
        <v>17.803866666666668</v>
      </c>
      <c r="M65" s="236">
        <f t="shared" si="1"/>
        <v>47.773708888888898</v>
      </c>
      <c r="N65" s="236"/>
      <c r="O65" s="512"/>
      <c r="P65" s="234" t="s">
        <v>232</v>
      </c>
      <c r="Q65" s="235"/>
      <c r="R65" s="235"/>
      <c r="S65" s="235"/>
      <c r="T65" s="236">
        <f t="shared" si="4"/>
        <v>0</v>
      </c>
      <c r="U65" s="236"/>
      <c r="V65" s="512"/>
      <c r="W65" s="234" t="s">
        <v>232</v>
      </c>
      <c r="X65" s="235"/>
      <c r="Y65" s="235">
        <f t="shared" si="2"/>
        <v>0</v>
      </c>
      <c r="Z65" s="235"/>
      <c r="AA65" s="236">
        <f t="shared" si="5"/>
        <v>0</v>
      </c>
      <c r="AB65" s="236"/>
      <c r="AC65" s="512"/>
      <c r="AD65" s="234" t="s">
        <v>232</v>
      </c>
      <c r="AE65" s="235"/>
      <c r="AF65" s="235">
        <f t="shared" si="3"/>
        <v>0</v>
      </c>
      <c r="AG65" s="235"/>
      <c r="AH65" s="236">
        <f t="shared" si="6"/>
        <v>0</v>
      </c>
      <c r="AI65" s="236"/>
      <c r="AK65" s="240"/>
    </row>
    <row r="66" spans="1:37" x14ac:dyDescent="0.2">
      <c r="A66" s="512"/>
      <c r="B66" s="234" t="s">
        <v>233</v>
      </c>
      <c r="C66" s="235">
        <f t="shared" si="11"/>
        <v>20368.244999999992</v>
      </c>
      <c r="D66" s="235">
        <f t="shared" si="7"/>
        <v>339.4707499999999</v>
      </c>
      <c r="E66" s="235">
        <f t="shared" si="8"/>
        <v>203.68244999999996</v>
      </c>
      <c r="F66" s="236">
        <f t="shared" si="0"/>
        <v>543.15319999999986</v>
      </c>
      <c r="G66" s="238"/>
      <c r="H66" s="514"/>
      <c r="I66" s="234" t="s">
        <v>233</v>
      </c>
      <c r="J66" s="235">
        <f t="shared" si="12"/>
        <v>1780.3866666666672</v>
      </c>
      <c r="K66" s="235">
        <f t="shared" si="9"/>
        <v>29.673111111111123</v>
      </c>
      <c r="L66" s="235">
        <f t="shared" si="10"/>
        <v>17.803866666666668</v>
      </c>
      <c r="M66" s="236">
        <f t="shared" si="1"/>
        <v>47.47697777777779</v>
      </c>
      <c r="N66" s="236"/>
      <c r="O66" s="512"/>
      <c r="P66" s="234" t="s">
        <v>233</v>
      </c>
      <c r="Q66" s="235"/>
      <c r="R66" s="235"/>
      <c r="S66" s="235"/>
      <c r="T66" s="236">
        <f t="shared" si="4"/>
        <v>0</v>
      </c>
      <c r="U66" s="236"/>
      <c r="V66" s="512"/>
      <c r="W66" s="234" t="s">
        <v>233</v>
      </c>
      <c r="X66" s="235"/>
      <c r="Y66" s="235">
        <f t="shared" si="2"/>
        <v>0</v>
      </c>
      <c r="Z66" s="235"/>
      <c r="AA66" s="236">
        <f t="shared" si="5"/>
        <v>0</v>
      </c>
      <c r="AB66" s="236"/>
      <c r="AC66" s="512"/>
      <c r="AD66" s="234" t="s">
        <v>233</v>
      </c>
      <c r="AE66" s="235"/>
      <c r="AF66" s="235">
        <f t="shared" si="3"/>
        <v>0</v>
      </c>
      <c r="AG66" s="235"/>
      <c r="AH66" s="236">
        <f t="shared" si="6"/>
        <v>0</v>
      </c>
      <c r="AI66" s="236"/>
      <c r="AK66" s="240"/>
    </row>
    <row r="67" spans="1:37" x14ac:dyDescent="0.2">
      <c r="A67" s="512"/>
      <c r="B67" s="234" t="s">
        <v>234</v>
      </c>
      <c r="C67" s="235">
        <f t="shared" si="11"/>
        <v>20164.562549999991</v>
      </c>
      <c r="D67" s="235">
        <f t="shared" si="7"/>
        <v>336.07604249999986</v>
      </c>
      <c r="E67" s="235">
        <f t="shared" si="8"/>
        <v>203.68244999999996</v>
      </c>
      <c r="F67" s="236">
        <f t="shared" si="0"/>
        <v>539.75849249999987</v>
      </c>
      <c r="G67" s="238"/>
      <c r="H67" s="514"/>
      <c r="I67" s="234" t="s">
        <v>234</v>
      </c>
      <c r="J67" s="235">
        <f t="shared" si="12"/>
        <v>1762.5828000000006</v>
      </c>
      <c r="K67" s="235">
        <f t="shared" si="9"/>
        <v>29.376380000000012</v>
      </c>
      <c r="L67" s="235">
        <f t="shared" si="10"/>
        <v>17.803866666666668</v>
      </c>
      <c r="M67" s="236">
        <f t="shared" si="1"/>
        <v>47.180246666666676</v>
      </c>
      <c r="N67" s="236"/>
      <c r="O67" s="512"/>
      <c r="P67" s="234" t="s">
        <v>234</v>
      </c>
      <c r="Q67" s="235"/>
      <c r="R67" s="235"/>
      <c r="S67" s="235"/>
      <c r="T67" s="236">
        <f t="shared" si="4"/>
        <v>0</v>
      </c>
      <c r="U67" s="236"/>
      <c r="V67" s="512"/>
      <c r="W67" s="234" t="s">
        <v>234</v>
      </c>
      <c r="X67" s="235"/>
      <c r="Y67" s="235">
        <f t="shared" si="2"/>
        <v>0</v>
      </c>
      <c r="Z67" s="235"/>
      <c r="AA67" s="236">
        <f t="shared" si="5"/>
        <v>0</v>
      </c>
      <c r="AB67" s="236"/>
      <c r="AC67" s="512"/>
      <c r="AD67" s="234" t="s">
        <v>234</v>
      </c>
      <c r="AE67" s="235"/>
      <c r="AF67" s="235">
        <f t="shared" si="3"/>
        <v>0</v>
      </c>
      <c r="AG67" s="235"/>
      <c r="AH67" s="236">
        <f t="shared" si="6"/>
        <v>0</v>
      </c>
      <c r="AI67" s="236"/>
      <c r="AK67" s="240"/>
    </row>
    <row r="68" spans="1:37" x14ac:dyDescent="0.2">
      <c r="A68" s="512"/>
      <c r="B68" s="234" t="s">
        <v>235</v>
      </c>
      <c r="C68" s="235">
        <f t="shared" si="11"/>
        <v>19960.880099999991</v>
      </c>
      <c r="D68" s="235">
        <f t="shared" si="7"/>
        <v>332.68133499999988</v>
      </c>
      <c r="E68" s="235">
        <f t="shared" si="8"/>
        <v>203.68244999999996</v>
      </c>
      <c r="F68" s="236">
        <f t="shared" si="0"/>
        <v>536.36378499999978</v>
      </c>
      <c r="G68" s="238"/>
      <c r="H68" s="514"/>
      <c r="I68" s="234" t="s">
        <v>235</v>
      </c>
      <c r="J68" s="235">
        <f t="shared" si="12"/>
        <v>1744.778933333334</v>
      </c>
      <c r="K68" s="235">
        <f t="shared" si="9"/>
        <v>29.079648888888901</v>
      </c>
      <c r="L68" s="235">
        <f t="shared" si="10"/>
        <v>17.803866666666668</v>
      </c>
      <c r="M68" s="236">
        <f t="shared" si="1"/>
        <v>46.883515555555569</v>
      </c>
      <c r="N68" s="236"/>
      <c r="O68" s="512"/>
      <c r="P68" s="234" t="s">
        <v>235</v>
      </c>
      <c r="Q68" s="235"/>
      <c r="R68" s="235"/>
      <c r="S68" s="235"/>
      <c r="T68" s="236">
        <f t="shared" si="4"/>
        <v>0</v>
      </c>
      <c r="U68" s="236"/>
      <c r="V68" s="512"/>
      <c r="W68" s="234" t="s">
        <v>235</v>
      </c>
      <c r="X68" s="235"/>
      <c r="Y68" s="235">
        <f t="shared" si="2"/>
        <v>0</v>
      </c>
      <c r="Z68" s="235"/>
      <c r="AA68" s="236">
        <f t="shared" si="5"/>
        <v>0</v>
      </c>
      <c r="AB68" s="236"/>
      <c r="AC68" s="512"/>
      <c r="AD68" s="234" t="s">
        <v>235</v>
      </c>
      <c r="AE68" s="235"/>
      <c r="AF68" s="235">
        <f t="shared" si="3"/>
        <v>0</v>
      </c>
      <c r="AG68" s="235"/>
      <c r="AH68" s="236">
        <f t="shared" si="6"/>
        <v>0</v>
      </c>
      <c r="AI68" s="236"/>
      <c r="AK68" s="240"/>
    </row>
    <row r="69" spans="1:37" x14ac:dyDescent="0.2">
      <c r="A69" s="512"/>
      <c r="B69" s="234" t="s">
        <v>236</v>
      </c>
      <c r="C69" s="235">
        <f t="shared" si="11"/>
        <v>19757.197649999991</v>
      </c>
      <c r="D69" s="235">
        <f t="shared" si="7"/>
        <v>329.28662749999984</v>
      </c>
      <c r="E69" s="235">
        <f t="shared" si="8"/>
        <v>203.68244999999996</v>
      </c>
      <c r="F69" s="236">
        <f t="shared" si="0"/>
        <v>532.9690774999998</v>
      </c>
      <c r="G69" s="239">
        <f>SUM(D58:D69)</f>
        <v>4175.4902249999986</v>
      </c>
      <c r="H69" s="515"/>
      <c r="I69" s="234" t="s">
        <v>236</v>
      </c>
      <c r="J69" s="235">
        <f t="shared" si="12"/>
        <v>1726.9750666666673</v>
      </c>
      <c r="K69" s="235">
        <f t="shared" si="9"/>
        <v>28.782917777777794</v>
      </c>
      <c r="L69" s="235">
        <f t="shared" si="10"/>
        <v>17.803866666666668</v>
      </c>
      <c r="M69" s="236">
        <f t="shared" si="1"/>
        <v>46.586784444444461</v>
      </c>
      <c r="N69" s="239">
        <f>SUM(K58:K69)</f>
        <v>364.97926666666677</v>
      </c>
      <c r="O69" s="512"/>
      <c r="P69" s="234" t="s">
        <v>236</v>
      </c>
      <c r="Q69" s="235"/>
      <c r="R69" s="235"/>
      <c r="S69" s="235"/>
      <c r="T69" s="236">
        <f t="shared" si="4"/>
        <v>0</v>
      </c>
      <c r="U69" s="239">
        <f>SUM(R58:R69)</f>
        <v>0</v>
      </c>
      <c r="V69" s="512"/>
      <c r="W69" s="234" t="s">
        <v>236</v>
      </c>
      <c r="X69" s="235"/>
      <c r="Y69" s="235">
        <f t="shared" si="2"/>
        <v>0</v>
      </c>
      <c r="Z69" s="235"/>
      <c r="AA69" s="236">
        <f t="shared" si="5"/>
        <v>0</v>
      </c>
      <c r="AB69" s="239">
        <f>SUM(Y58:Y69)</f>
        <v>0</v>
      </c>
      <c r="AC69" s="512"/>
      <c r="AD69" s="234" t="s">
        <v>236</v>
      </c>
      <c r="AE69" s="235"/>
      <c r="AF69" s="235">
        <f t="shared" si="3"/>
        <v>0</v>
      </c>
      <c r="AG69" s="235"/>
      <c r="AH69" s="236">
        <f t="shared" si="6"/>
        <v>0</v>
      </c>
      <c r="AI69" s="239">
        <f>SUM(AF58:AF69)</f>
        <v>0</v>
      </c>
      <c r="AJ69" s="208">
        <f>AJ57+1</f>
        <v>2026</v>
      </c>
      <c r="AK69" s="240">
        <f>G69+N69+U69+AB69+AI69</f>
        <v>4540.4694916666658</v>
      </c>
    </row>
    <row r="70" spans="1:37" x14ac:dyDescent="0.2">
      <c r="A70" s="512">
        <f>A58+1</f>
        <v>2027</v>
      </c>
      <c r="B70" s="234" t="s">
        <v>225</v>
      </c>
      <c r="C70" s="235">
        <f t="shared" si="11"/>
        <v>19553.515199999991</v>
      </c>
      <c r="D70" s="235">
        <f t="shared" si="7"/>
        <v>325.89191999999986</v>
      </c>
      <c r="E70" s="235">
        <f t="shared" si="8"/>
        <v>203.68244999999996</v>
      </c>
      <c r="F70" s="236">
        <f t="shared" si="0"/>
        <v>529.57436999999982</v>
      </c>
      <c r="G70" s="237"/>
      <c r="H70" s="513">
        <f>H58+1</f>
        <v>2027</v>
      </c>
      <c r="I70" s="234" t="s">
        <v>225</v>
      </c>
      <c r="J70" s="235">
        <f t="shared" si="12"/>
        <v>1709.1712000000007</v>
      </c>
      <c r="K70" s="235">
        <f t="shared" si="9"/>
        <v>28.486186666666679</v>
      </c>
      <c r="L70" s="235">
        <f t="shared" si="10"/>
        <v>17.803866666666668</v>
      </c>
      <c r="M70" s="236">
        <f t="shared" si="1"/>
        <v>46.290053333333347</v>
      </c>
      <c r="N70" s="236"/>
      <c r="O70" s="512">
        <f>O58+1</f>
        <v>2027</v>
      </c>
      <c r="P70" s="234" t="s">
        <v>225</v>
      </c>
      <c r="Q70" s="235">
        <f>Q7-Q8</f>
        <v>8624.0109999999986</v>
      </c>
      <c r="R70" s="235">
        <f t="shared" ref="R70:R133" si="13">Q70*$D$7/12</f>
        <v>143.73351666666665</v>
      </c>
      <c r="S70" s="235">
        <f t="shared" ref="S70:S133" si="14">$Q$7/R$8</f>
        <v>71.866758333333323</v>
      </c>
      <c r="T70" s="236">
        <f t="shared" si="4"/>
        <v>215.60027499999995</v>
      </c>
      <c r="U70" s="236"/>
      <c r="V70" s="512">
        <f>V58+1</f>
        <v>2026</v>
      </c>
      <c r="W70" s="234" t="s">
        <v>225</v>
      </c>
      <c r="X70" s="235"/>
      <c r="Y70" s="235"/>
      <c r="Z70" s="235"/>
      <c r="AA70" s="236">
        <f t="shared" si="5"/>
        <v>0</v>
      </c>
      <c r="AB70" s="236"/>
      <c r="AC70" s="512">
        <f>AC58+1</f>
        <v>2026</v>
      </c>
      <c r="AD70" s="234" t="s">
        <v>225</v>
      </c>
      <c r="AE70" s="235"/>
      <c r="AF70" s="235"/>
      <c r="AG70" s="235"/>
      <c r="AH70" s="236">
        <f t="shared" si="6"/>
        <v>0</v>
      </c>
      <c r="AI70" s="236"/>
      <c r="AK70" s="240"/>
    </row>
    <row r="71" spans="1:37" x14ac:dyDescent="0.2">
      <c r="A71" s="512"/>
      <c r="B71" s="234" t="s">
        <v>226</v>
      </c>
      <c r="C71" s="235">
        <f t="shared" si="11"/>
        <v>19349.83274999999</v>
      </c>
      <c r="D71" s="235">
        <f t="shared" si="7"/>
        <v>322.49721249999988</v>
      </c>
      <c r="E71" s="235">
        <f t="shared" si="8"/>
        <v>203.68244999999996</v>
      </c>
      <c r="F71" s="236">
        <f t="shared" si="0"/>
        <v>526.17966249999984</v>
      </c>
      <c r="G71" s="238"/>
      <c r="H71" s="514"/>
      <c r="I71" s="234" t="s">
        <v>226</v>
      </c>
      <c r="J71" s="235">
        <f t="shared" si="12"/>
        <v>1691.367333333334</v>
      </c>
      <c r="K71" s="235">
        <f t="shared" si="9"/>
        <v>28.189455555555568</v>
      </c>
      <c r="L71" s="235">
        <f t="shared" si="10"/>
        <v>17.803866666666668</v>
      </c>
      <c r="M71" s="236">
        <f t="shared" si="1"/>
        <v>45.993322222222233</v>
      </c>
      <c r="N71" s="236"/>
      <c r="O71" s="512"/>
      <c r="P71" s="234" t="s">
        <v>226</v>
      </c>
      <c r="Q71" s="235">
        <f t="shared" ref="Q71:Q134" si="15">Q70-S70</f>
        <v>8552.144241666665</v>
      </c>
      <c r="R71" s="235">
        <f t="shared" si="13"/>
        <v>142.53573736111107</v>
      </c>
      <c r="S71" s="235">
        <f t="shared" si="14"/>
        <v>71.866758333333323</v>
      </c>
      <c r="T71" s="236">
        <f t="shared" si="4"/>
        <v>214.40249569444438</v>
      </c>
      <c r="U71" s="236"/>
      <c r="V71" s="512"/>
      <c r="W71" s="234" t="s">
        <v>226</v>
      </c>
      <c r="X71" s="235"/>
      <c r="Y71" s="235"/>
      <c r="Z71" s="235"/>
      <c r="AA71" s="236">
        <f t="shared" si="5"/>
        <v>0</v>
      </c>
      <c r="AB71" s="236"/>
      <c r="AC71" s="512"/>
      <c r="AD71" s="234" t="s">
        <v>226</v>
      </c>
      <c r="AE71" s="235"/>
      <c r="AF71" s="235"/>
      <c r="AG71" s="235"/>
      <c r="AH71" s="236">
        <f t="shared" si="6"/>
        <v>0</v>
      </c>
      <c r="AI71" s="236"/>
      <c r="AK71" s="240"/>
    </row>
    <row r="72" spans="1:37" x14ac:dyDescent="0.2">
      <c r="A72" s="512"/>
      <c r="B72" s="234" t="s">
        <v>227</v>
      </c>
      <c r="C72" s="235">
        <f t="shared" si="11"/>
        <v>19146.15029999999</v>
      </c>
      <c r="D72" s="235">
        <f t="shared" si="7"/>
        <v>319.10250499999984</v>
      </c>
      <c r="E72" s="235">
        <f t="shared" si="8"/>
        <v>203.68244999999996</v>
      </c>
      <c r="F72" s="236">
        <f t="shared" si="0"/>
        <v>522.78495499999985</v>
      </c>
      <c r="G72" s="238"/>
      <c r="H72" s="514"/>
      <c r="I72" s="234" t="s">
        <v>227</v>
      </c>
      <c r="J72" s="235">
        <f t="shared" si="12"/>
        <v>1673.5634666666674</v>
      </c>
      <c r="K72" s="235">
        <f t="shared" si="9"/>
        <v>27.892724444444458</v>
      </c>
      <c r="L72" s="235">
        <f t="shared" si="10"/>
        <v>17.803866666666668</v>
      </c>
      <c r="M72" s="236">
        <f t="shared" si="1"/>
        <v>45.696591111111125</v>
      </c>
      <c r="N72" s="236"/>
      <c r="O72" s="512"/>
      <c r="P72" s="234" t="s">
        <v>227</v>
      </c>
      <c r="Q72" s="235">
        <f t="shared" si="15"/>
        <v>8480.2774833333315</v>
      </c>
      <c r="R72" s="235">
        <f t="shared" si="13"/>
        <v>141.33795805555553</v>
      </c>
      <c r="S72" s="235">
        <f t="shared" si="14"/>
        <v>71.866758333333323</v>
      </c>
      <c r="T72" s="236">
        <f t="shared" si="4"/>
        <v>213.20471638888887</v>
      </c>
      <c r="U72" s="236"/>
      <c r="V72" s="512"/>
      <c r="W72" s="234" t="s">
        <v>227</v>
      </c>
      <c r="X72" s="235"/>
      <c r="Y72" s="235"/>
      <c r="Z72" s="235"/>
      <c r="AA72" s="236">
        <f t="shared" si="5"/>
        <v>0</v>
      </c>
      <c r="AB72" s="236"/>
      <c r="AC72" s="512"/>
      <c r="AD72" s="234" t="s">
        <v>227</v>
      </c>
      <c r="AE72" s="235"/>
      <c r="AF72" s="235"/>
      <c r="AG72" s="235"/>
      <c r="AH72" s="236">
        <f t="shared" si="6"/>
        <v>0</v>
      </c>
      <c r="AI72" s="236"/>
      <c r="AK72" s="240"/>
    </row>
    <row r="73" spans="1:37" x14ac:dyDescent="0.2">
      <c r="A73" s="512"/>
      <c r="B73" s="234" t="s">
        <v>228</v>
      </c>
      <c r="C73" s="235">
        <f t="shared" si="11"/>
        <v>18942.46784999999</v>
      </c>
      <c r="D73" s="235">
        <f t="shared" si="7"/>
        <v>315.70779749999986</v>
      </c>
      <c r="E73" s="235">
        <f t="shared" si="8"/>
        <v>203.68244999999996</v>
      </c>
      <c r="F73" s="236">
        <f t="shared" si="0"/>
        <v>519.39024749999976</v>
      </c>
      <c r="G73" s="238"/>
      <c r="H73" s="514"/>
      <c r="I73" s="234" t="s">
        <v>228</v>
      </c>
      <c r="J73" s="235">
        <f t="shared" si="12"/>
        <v>1655.7596000000008</v>
      </c>
      <c r="K73" s="235">
        <f t="shared" si="9"/>
        <v>27.59599333333335</v>
      </c>
      <c r="L73" s="235">
        <f t="shared" si="10"/>
        <v>17.803866666666668</v>
      </c>
      <c r="M73" s="236">
        <f t="shared" si="1"/>
        <v>45.399860000000018</v>
      </c>
      <c r="N73" s="236"/>
      <c r="O73" s="512"/>
      <c r="P73" s="234" t="s">
        <v>228</v>
      </c>
      <c r="Q73" s="235">
        <f t="shared" si="15"/>
        <v>8408.4107249999979</v>
      </c>
      <c r="R73" s="235">
        <f t="shared" si="13"/>
        <v>140.14017874999999</v>
      </c>
      <c r="S73" s="235">
        <f t="shared" si="14"/>
        <v>71.866758333333323</v>
      </c>
      <c r="T73" s="236">
        <f t="shared" si="4"/>
        <v>212.0069370833333</v>
      </c>
      <c r="U73" s="236"/>
      <c r="V73" s="512"/>
      <c r="W73" s="234" t="s">
        <v>228</v>
      </c>
      <c r="X73" s="235"/>
      <c r="Y73" s="235"/>
      <c r="Z73" s="235"/>
      <c r="AA73" s="236">
        <f t="shared" si="5"/>
        <v>0</v>
      </c>
      <c r="AB73" s="236"/>
      <c r="AC73" s="512"/>
      <c r="AD73" s="234" t="s">
        <v>228</v>
      </c>
      <c r="AE73" s="235"/>
      <c r="AF73" s="235"/>
      <c r="AG73" s="235"/>
      <c r="AH73" s="236">
        <f t="shared" si="6"/>
        <v>0</v>
      </c>
      <c r="AI73" s="236"/>
      <c r="AK73" s="240"/>
    </row>
    <row r="74" spans="1:37" x14ac:dyDescent="0.2">
      <c r="A74" s="512"/>
      <c r="B74" s="234" t="s">
        <v>229</v>
      </c>
      <c r="C74" s="235">
        <f t="shared" si="11"/>
        <v>18738.78539999999</v>
      </c>
      <c r="D74" s="235">
        <f t="shared" si="7"/>
        <v>312.31308999999982</v>
      </c>
      <c r="E74" s="235">
        <f t="shared" si="8"/>
        <v>203.68244999999996</v>
      </c>
      <c r="F74" s="236">
        <f t="shared" si="0"/>
        <v>515.99553999999978</v>
      </c>
      <c r="G74" s="238"/>
      <c r="H74" s="514"/>
      <c r="I74" s="234" t="s">
        <v>229</v>
      </c>
      <c r="J74" s="235">
        <f t="shared" si="12"/>
        <v>1637.9557333333341</v>
      </c>
      <c r="K74" s="235">
        <f t="shared" si="9"/>
        <v>27.299262222222239</v>
      </c>
      <c r="L74" s="235">
        <f t="shared" si="10"/>
        <v>17.803866666666668</v>
      </c>
      <c r="M74" s="236">
        <f t="shared" si="1"/>
        <v>45.103128888888904</v>
      </c>
      <c r="N74" s="236"/>
      <c r="O74" s="512"/>
      <c r="P74" s="234" t="s">
        <v>229</v>
      </c>
      <c r="Q74" s="235">
        <f t="shared" si="15"/>
        <v>8336.5439666666643</v>
      </c>
      <c r="R74" s="235">
        <f t="shared" si="13"/>
        <v>138.94239944444442</v>
      </c>
      <c r="S74" s="235">
        <f t="shared" si="14"/>
        <v>71.866758333333323</v>
      </c>
      <c r="T74" s="236">
        <f t="shared" si="4"/>
        <v>210.80915777777773</v>
      </c>
      <c r="U74" s="236"/>
      <c r="V74" s="512"/>
      <c r="W74" s="234" t="s">
        <v>229</v>
      </c>
      <c r="X74" s="235"/>
      <c r="Y74" s="235"/>
      <c r="Z74" s="235"/>
      <c r="AA74" s="236">
        <f t="shared" si="5"/>
        <v>0</v>
      </c>
      <c r="AB74" s="236"/>
      <c r="AC74" s="512"/>
      <c r="AD74" s="234" t="s">
        <v>229</v>
      </c>
      <c r="AE74" s="235"/>
      <c r="AF74" s="235"/>
      <c r="AG74" s="235"/>
      <c r="AH74" s="236">
        <f t="shared" si="6"/>
        <v>0</v>
      </c>
      <c r="AI74" s="236"/>
      <c r="AK74" s="240"/>
    </row>
    <row r="75" spans="1:37" x14ac:dyDescent="0.2">
      <c r="A75" s="512"/>
      <c r="B75" s="234" t="s">
        <v>230</v>
      </c>
      <c r="C75" s="235">
        <f t="shared" si="11"/>
        <v>18535.10294999999</v>
      </c>
      <c r="D75" s="235">
        <f t="shared" si="7"/>
        <v>308.91838249999984</v>
      </c>
      <c r="E75" s="235">
        <f t="shared" si="8"/>
        <v>203.68244999999996</v>
      </c>
      <c r="F75" s="236">
        <f t="shared" si="0"/>
        <v>512.6008324999998</v>
      </c>
      <c r="G75" s="238"/>
      <c r="H75" s="514"/>
      <c r="I75" s="234" t="s">
        <v>230</v>
      </c>
      <c r="J75" s="235">
        <f t="shared" si="12"/>
        <v>1620.1518666666675</v>
      </c>
      <c r="K75" s="235">
        <f t="shared" si="9"/>
        <v>27.002531111111125</v>
      </c>
      <c r="L75" s="235">
        <f t="shared" si="10"/>
        <v>17.803866666666668</v>
      </c>
      <c r="M75" s="236">
        <f t="shared" si="1"/>
        <v>44.806397777777789</v>
      </c>
      <c r="N75" s="236"/>
      <c r="O75" s="512"/>
      <c r="P75" s="234" t="s">
        <v>230</v>
      </c>
      <c r="Q75" s="235">
        <f t="shared" si="15"/>
        <v>8264.6772083333308</v>
      </c>
      <c r="R75" s="235">
        <f t="shared" si="13"/>
        <v>137.74462013888885</v>
      </c>
      <c r="S75" s="235">
        <f t="shared" si="14"/>
        <v>71.866758333333323</v>
      </c>
      <c r="T75" s="236">
        <f t="shared" si="4"/>
        <v>209.61137847222216</v>
      </c>
      <c r="U75" s="236"/>
      <c r="V75" s="512"/>
      <c r="W75" s="234" t="s">
        <v>230</v>
      </c>
      <c r="X75" s="235"/>
      <c r="Y75" s="235"/>
      <c r="Z75" s="235"/>
      <c r="AA75" s="236">
        <f t="shared" si="5"/>
        <v>0</v>
      </c>
      <c r="AB75" s="236"/>
      <c r="AC75" s="512"/>
      <c r="AD75" s="234" t="s">
        <v>230</v>
      </c>
      <c r="AE75" s="235"/>
      <c r="AF75" s="235"/>
      <c r="AG75" s="235"/>
      <c r="AH75" s="236">
        <f t="shared" si="6"/>
        <v>0</v>
      </c>
      <c r="AI75" s="236"/>
      <c r="AK75" s="240"/>
    </row>
    <row r="76" spans="1:37" x14ac:dyDescent="0.2">
      <c r="A76" s="512"/>
      <c r="B76" s="234" t="s">
        <v>231</v>
      </c>
      <c r="C76" s="235">
        <f t="shared" si="11"/>
        <v>18331.420499999989</v>
      </c>
      <c r="D76" s="235">
        <f t="shared" si="7"/>
        <v>305.52367499999986</v>
      </c>
      <c r="E76" s="235">
        <f t="shared" si="8"/>
        <v>203.68244999999996</v>
      </c>
      <c r="F76" s="236">
        <f t="shared" ref="F76:F129" si="16">D76+E76</f>
        <v>509.20612499999982</v>
      </c>
      <c r="G76" s="238"/>
      <c r="H76" s="514"/>
      <c r="I76" s="234" t="s">
        <v>231</v>
      </c>
      <c r="J76" s="235">
        <f t="shared" si="12"/>
        <v>1602.3480000000009</v>
      </c>
      <c r="K76" s="235">
        <f t="shared" si="9"/>
        <v>26.705800000000014</v>
      </c>
      <c r="L76" s="235">
        <f t="shared" si="10"/>
        <v>17.803866666666668</v>
      </c>
      <c r="M76" s="236">
        <f t="shared" si="1"/>
        <v>44.509666666666682</v>
      </c>
      <c r="N76" s="236"/>
      <c r="O76" s="512"/>
      <c r="P76" s="234" t="s">
        <v>231</v>
      </c>
      <c r="Q76" s="235">
        <f t="shared" si="15"/>
        <v>8192.8104499999972</v>
      </c>
      <c r="R76" s="235">
        <f t="shared" si="13"/>
        <v>136.54684083333328</v>
      </c>
      <c r="S76" s="235">
        <f t="shared" si="14"/>
        <v>71.866758333333323</v>
      </c>
      <c r="T76" s="236">
        <f t="shared" si="4"/>
        <v>208.41359916666659</v>
      </c>
      <c r="U76" s="236"/>
      <c r="V76" s="512"/>
      <c r="W76" s="234" t="s">
        <v>231</v>
      </c>
      <c r="X76" s="235"/>
      <c r="Y76" s="235"/>
      <c r="Z76" s="235"/>
      <c r="AA76" s="236">
        <f t="shared" si="5"/>
        <v>0</v>
      </c>
      <c r="AB76" s="236"/>
      <c r="AC76" s="512"/>
      <c r="AD76" s="234" t="s">
        <v>231</v>
      </c>
      <c r="AE76" s="235"/>
      <c r="AF76" s="235"/>
      <c r="AG76" s="235"/>
      <c r="AH76" s="236">
        <f t="shared" si="6"/>
        <v>0</v>
      </c>
      <c r="AI76" s="236"/>
      <c r="AK76" s="240"/>
    </row>
    <row r="77" spans="1:37" x14ac:dyDescent="0.2">
      <c r="A77" s="512"/>
      <c r="B77" s="234" t="s">
        <v>232</v>
      </c>
      <c r="C77" s="235">
        <f t="shared" si="11"/>
        <v>18127.738049999989</v>
      </c>
      <c r="D77" s="235">
        <f t="shared" si="7"/>
        <v>302.12896749999982</v>
      </c>
      <c r="E77" s="235">
        <f t="shared" si="8"/>
        <v>203.68244999999996</v>
      </c>
      <c r="F77" s="236">
        <f t="shared" si="16"/>
        <v>505.81141749999978</v>
      </c>
      <c r="G77" s="238"/>
      <c r="H77" s="514"/>
      <c r="I77" s="234" t="s">
        <v>232</v>
      </c>
      <c r="J77" s="235">
        <f t="shared" si="12"/>
        <v>1584.5441333333342</v>
      </c>
      <c r="K77" s="235">
        <f t="shared" si="9"/>
        <v>26.409068888888907</v>
      </c>
      <c r="L77" s="235">
        <f t="shared" si="10"/>
        <v>17.803866666666668</v>
      </c>
      <c r="M77" s="236">
        <f t="shared" si="1"/>
        <v>44.212935555555575</v>
      </c>
      <c r="N77" s="236"/>
      <c r="O77" s="512"/>
      <c r="P77" s="234" t="s">
        <v>232</v>
      </c>
      <c r="Q77" s="235">
        <f t="shared" si="15"/>
        <v>8120.9436916666637</v>
      </c>
      <c r="R77" s="235">
        <f t="shared" si="13"/>
        <v>135.34906152777774</v>
      </c>
      <c r="S77" s="235">
        <f t="shared" si="14"/>
        <v>71.866758333333323</v>
      </c>
      <c r="T77" s="236">
        <f t="shared" si="4"/>
        <v>207.21581986111107</v>
      </c>
      <c r="U77" s="236"/>
      <c r="V77" s="512"/>
      <c r="W77" s="234" t="s">
        <v>232</v>
      </c>
      <c r="X77" s="235"/>
      <c r="Y77" s="235"/>
      <c r="Z77" s="235"/>
      <c r="AA77" s="236">
        <f t="shared" si="5"/>
        <v>0</v>
      </c>
      <c r="AB77" s="236"/>
      <c r="AC77" s="512"/>
      <c r="AD77" s="234" t="s">
        <v>232</v>
      </c>
      <c r="AE77" s="235"/>
      <c r="AF77" s="235"/>
      <c r="AG77" s="235"/>
      <c r="AH77" s="236">
        <f t="shared" si="6"/>
        <v>0</v>
      </c>
      <c r="AI77" s="236"/>
      <c r="AK77" s="240"/>
    </row>
    <row r="78" spans="1:37" x14ac:dyDescent="0.2">
      <c r="A78" s="512"/>
      <c r="B78" s="234" t="s">
        <v>233</v>
      </c>
      <c r="C78" s="235">
        <f t="shared" si="11"/>
        <v>17924.055599999989</v>
      </c>
      <c r="D78" s="235">
        <f t="shared" si="7"/>
        <v>298.73425999999984</v>
      </c>
      <c r="E78" s="235">
        <f t="shared" si="8"/>
        <v>203.68244999999996</v>
      </c>
      <c r="F78" s="236">
        <f t="shared" si="16"/>
        <v>502.4167099999998</v>
      </c>
      <c r="G78" s="238"/>
      <c r="H78" s="514"/>
      <c r="I78" s="234" t="s">
        <v>233</v>
      </c>
      <c r="J78" s="235">
        <f t="shared" si="12"/>
        <v>1566.7402666666676</v>
      </c>
      <c r="K78" s="235">
        <f t="shared" si="9"/>
        <v>26.112337777777796</v>
      </c>
      <c r="L78" s="235">
        <f t="shared" si="10"/>
        <v>17.803866666666668</v>
      </c>
      <c r="M78" s="236">
        <f t="shared" si="1"/>
        <v>43.91620444444446</v>
      </c>
      <c r="N78" s="236"/>
      <c r="O78" s="512"/>
      <c r="P78" s="234" t="s">
        <v>233</v>
      </c>
      <c r="Q78" s="235">
        <f t="shared" si="15"/>
        <v>8049.0769333333301</v>
      </c>
      <c r="R78" s="235">
        <f t="shared" si="13"/>
        <v>134.15128222222219</v>
      </c>
      <c r="S78" s="235">
        <f t="shared" si="14"/>
        <v>71.866758333333323</v>
      </c>
      <c r="T78" s="236">
        <f t="shared" si="4"/>
        <v>206.0180405555555</v>
      </c>
      <c r="U78" s="236"/>
      <c r="V78" s="512"/>
      <c r="W78" s="234" t="s">
        <v>233</v>
      </c>
      <c r="X78" s="235"/>
      <c r="Y78" s="235"/>
      <c r="Z78" s="235"/>
      <c r="AA78" s="236">
        <f t="shared" si="5"/>
        <v>0</v>
      </c>
      <c r="AB78" s="236"/>
      <c r="AC78" s="512"/>
      <c r="AD78" s="234" t="s">
        <v>233</v>
      </c>
      <c r="AE78" s="235"/>
      <c r="AF78" s="235"/>
      <c r="AG78" s="235"/>
      <c r="AH78" s="236">
        <f t="shared" si="6"/>
        <v>0</v>
      </c>
      <c r="AI78" s="236"/>
      <c r="AK78" s="240"/>
    </row>
    <row r="79" spans="1:37" x14ac:dyDescent="0.2">
      <c r="A79" s="512"/>
      <c r="B79" s="234" t="s">
        <v>234</v>
      </c>
      <c r="C79" s="235">
        <f t="shared" si="11"/>
        <v>17720.373149999989</v>
      </c>
      <c r="D79" s="235">
        <f t="shared" si="7"/>
        <v>295.3395524999998</v>
      </c>
      <c r="E79" s="235">
        <f t="shared" si="8"/>
        <v>203.68244999999996</v>
      </c>
      <c r="F79" s="236">
        <f t="shared" si="16"/>
        <v>499.02200249999976</v>
      </c>
      <c r="G79" s="238"/>
      <c r="H79" s="514"/>
      <c r="I79" s="234" t="s">
        <v>234</v>
      </c>
      <c r="J79" s="235">
        <f t="shared" si="12"/>
        <v>1548.936400000001</v>
      </c>
      <c r="K79" s="235">
        <f t="shared" si="9"/>
        <v>25.815606666666685</v>
      </c>
      <c r="L79" s="235">
        <f t="shared" si="10"/>
        <v>17.803866666666668</v>
      </c>
      <c r="M79" s="236">
        <f t="shared" si="1"/>
        <v>43.619473333333353</v>
      </c>
      <c r="N79" s="236"/>
      <c r="O79" s="512"/>
      <c r="P79" s="234" t="s">
        <v>234</v>
      </c>
      <c r="Q79" s="235">
        <f t="shared" si="15"/>
        <v>7977.2101749999965</v>
      </c>
      <c r="R79" s="235">
        <f t="shared" si="13"/>
        <v>132.95350291666662</v>
      </c>
      <c r="S79" s="235">
        <f t="shared" si="14"/>
        <v>71.866758333333323</v>
      </c>
      <c r="T79" s="236">
        <f t="shared" si="4"/>
        <v>204.82026124999993</v>
      </c>
      <c r="U79" s="236"/>
      <c r="V79" s="512"/>
      <c r="W79" s="234" t="s">
        <v>234</v>
      </c>
      <c r="X79" s="235"/>
      <c r="Y79" s="235"/>
      <c r="Z79" s="235"/>
      <c r="AA79" s="236">
        <f t="shared" si="5"/>
        <v>0</v>
      </c>
      <c r="AB79" s="236"/>
      <c r="AC79" s="512"/>
      <c r="AD79" s="234" t="s">
        <v>234</v>
      </c>
      <c r="AE79" s="235"/>
      <c r="AF79" s="235"/>
      <c r="AG79" s="235"/>
      <c r="AH79" s="236">
        <f t="shared" si="6"/>
        <v>0</v>
      </c>
      <c r="AI79" s="236"/>
      <c r="AK79" s="240"/>
    </row>
    <row r="80" spans="1:37" x14ac:dyDescent="0.2">
      <c r="A80" s="512"/>
      <c r="B80" s="234" t="s">
        <v>235</v>
      </c>
      <c r="C80" s="235">
        <f t="shared" si="11"/>
        <v>17516.690699999988</v>
      </c>
      <c r="D80" s="235">
        <f t="shared" si="7"/>
        <v>291.94484499999982</v>
      </c>
      <c r="E80" s="235">
        <f t="shared" si="8"/>
        <v>203.68244999999996</v>
      </c>
      <c r="F80" s="236">
        <f t="shared" si="16"/>
        <v>495.62729499999978</v>
      </c>
      <c r="G80" s="238"/>
      <c r="H80" s="514"/>
      <c r="I80" s="234" t="s">
        <v>235</v>
      </c>
      <c r="J80" s="235">
        <f t="shared" si="12"/>
        <v>1531.1325333333343</v>
      </c>
      <c r="K80" s="235">
        <f t="shared" si="9"/>
        <v>25.518875555555571</v>
      </c>
      <c r="L80" s="235">
        <f t="shared" si="10"/>
        <v>17.803866666666668</v>
      </c>
      <c r="M80" s="236">
        <f t="shared" si="1"/>
        <v>43.322742222222239</v>
      </c>
      <c r="N80" s="236"/>
      <c r="O80" s="512"/>
      <c r="P80" s="234" t="s">
        <v>235</v>
      </c>
      <c r="Q80" s="235">
        <f t="shared" si="15"/>
        <v>7905.343416666663</v>
      </c>
      <c r="R80" s="235">
        <f t="shared" si="13"/>
        <v>131.75572361111105</v>
      </c>
      <c r="S80" s="235">
        <f t="shared" si="14"/>
        <v>71.866758333333323</v>
      </c>
      <c r="T80" s="236">
        <f t="shared" si="4"/>
        <v>203.62248194444436</v>
      </c>
      <c r="U80" s="236"/>
      <c r="V80" s="512"/>
      <c r="W80" s="234" t="s">
        <v>235</v>
      </c>
      <c r="X80" s="235"/>
      <c r="Y80" s="235"/>
      <c r="Z80" s="235"/>
      <c r="AA80" s="236">
        <f t="shared" si="5"/>
        <v>0</v>
      </c>
      <c r="AB80" s="236"/>
      <c r="AC80" s="512"/>
      <c r="AD80" s="234" t="s">
        <v>235</v>
      </c>
      <c r="AE80" s="235"/>
      <c r="AF80" s="235"/>
      <c r="AG80" s="235"/>
      <c r="AH80" s="236">
        <f t="shared" si="6"/>
        <v>0</v>
      </c>
      <c r="AI80" s="236"/>
      <c r="AK80" s="240"/>
    </row>
    <row r="81" spans="1:37" x14ac:dyDescent="0.2">
      <c r="A81" s="512"/>
      <c r="B81" s="234" t="s">
        <v>236</v>
      </c>
      <c r="C81" s="235">
        <f t="shared" si="11"/>
        <v>17313.008249999988</v>
      </c>
      <c r="D81" s="235">
        <f t="shared" si="7"/>
        <v>288.55013749999983</v>
      </c>
      <c r="E81" s="235">
        <f t="shared" si="8"/>
        <v>203.68244999999996</v>
      </c>
      <c r="F81" s="236">
        <f t="shared" si="16"/>
        <v>492.23258749999979</v>
      </c>
      <c r="G81" s="239">
        <f>SUM(D70:D81)</f>
        <v>3686.6523449999981</v>
      </c>
      <c r="H81" s="515"/>
      <c r="I81" s="234" t="s">
        <v>236</v>
      </c>
      <c r="J81" s="235">
        <f t="shared" si="12"/>
        <v>1513.3286666666677</v>
      </c>
      <c r="K81" s="235">
        <f t="shared" si="9"/>
        <v>25.222144444444464</v>
      </c>
      <c r="L81" s="235">
        <f t="shared" si="10"/>
        <v>17.803866666666668</v>
      </c>
      <c r="M81" s="236">
        <f t="shared" si="1"/>
        <v>43.026011111111131</v>
      </c>
      <c r="N81" s="239">
        <f>SUM(K70:K81)</f>
        <v>322.24998666666676</v>
      </c>
      <c r="O81" s="512"/>
      <c r="P81" s="234" t="s">
        <v>236</v>
      </c>
      <c r="Q81" s="235">
        <f t="shared" si="15"/>
        <v>7833.4766583333294</v>
      </c>
      <c r="R81" s="235">
        <f t="shared" si="13"/>
        <v>130.55794430555548</v>
      </c>
      <c r="S81" s="235">
        <f t="shared" si="14"/>
        <v>71.866758333333323</v>
      </c>
      <c r="T81" s="236">
        <f t="shared" si="4"/>
        <v>202.42470263888879</v>
      </c>
      <c r="U81" s="239">
        <f>SUM(R70:R81)</f>
        <v>1645.748765833333</v>
      </c>
      <c r="V81" s="512"/>
      <c r="W81" s="234" t="s">
        <v>236</v>
      </c>
      <c r="X81" s="235"/>
      <c r="Y81" s="235"/>
      <c r="Z81" s="235"/>
      <c r="AA81" s="236">
        <f t="shared" si="5"/>
        <v>0</v>
      </c>
      <c r="AB81" s="239">
        <f>SUM(Y70:Y81)</f>
        <v>0</v>
      </c>
      <c r="AC81" s="512"/>
      <c r="AD81" s="234" t="s">
        <v>236</v>
      </c>
      <c r="AE81" s="235"/>
      <c r="AF81" s="235"/>
      <c r="AG81" s="235"/>
      <c r="AH81" s="236">
        <f t="shared" si="6"/>
        <v>0</v>
      </c>
      <c r="AI81" s="239">
        <f>SUM(AF70:AF81)</f>
        <v>0</v>
      </c>
      <c r="AJ81" s="208">
        <f>AJ69+1</f>
        <v>2027</v>
      </c>
      <c r="AK81" s="240">
        <f>G81+N81+U81+AB81+AI81</f>
        <v>5654.6510974999983</v>
      </c>
    </row>
    <row r="82" spans="1:37" x14ac:dyDescent="0.2">
      <c r="A82" s="512">
        <f>A70+1</f>
        <v>2028</v>
      </c>
      <c r="B82" s="234" t="s">
        <v>225</v>
      </c>
      <c r="C82" s="235">
        <f t="shared" si="11"/>
        <v>17109.325799999988</v>
      </c>
      <c r="D82" s="235">
        <f t="shared" si="7"/>
        <v>285.1554299999998</v>
      </c>
      <c r="E82" s="235">
        <f t="shared" si="8"/>
        <v>203.68244999999996</v>
      </c>
      <c r="F82" s="236">
        <f t="shared" si="16"/>
        <v>488.83787999999976</v>
      </c>
      <c r="G82" s="237"/>
      <c r="H82" s="513">
        <f>H70+1</f>
        <v>2028</v>
      </c>
      <c r="I82" s="234" t="s">
        <v>225</v>
      </c>
      <c r="J82" s="235">
        <f t="shared" si="12"/>
        <v>1495.5248000000011</v>
      </c>
      <c r="K82" s="235">
        <f t="shared" si="9"/>
        <v>24.925413333333353</v>
      </c>
      <c r="L82" s="235">
        <f t="shared" si="10"/>
        <v>17.803866666666668</v>
      </c>
      <c r="M82" s="236">
        <f t="shared" si="1"/>
        <v>42.729280000000017</v>
      </c>
      <c r="N82" s="236"/>
      <c r="O82" s="512">
        <f>O70+1</f>
        <v>2028</v>
      </c>
      <c r="P82" s="234" t="s">
        <v>225</v>
      </c>
      <c r="Q82" s="235">
        <f t="shared" si="15"/>
        <v>7761.6098999999958</v>
      </c>
      <c r="R82" s="235">
        <f t="shared" si="13"/>
        <v>129.36016499999994</v>
      </c>
      <c r="S82" s="235">
        <f t="shared" si="14"/>
        <v>71.866758333333323</v>
      </c>
      <c r="T82" s="236">
        <f t="shared" si="4"/>
        <v>201.22692333333327</v>
      </c>
      <c r="U82" s="236"/>
      <c r="V82" s="512">
        <f>V70+1</f>
        <v>2027</v>
      </c>
      <c r="W82" s="234" t="s">
        <v>225</v>
      </c>
      <c r="X82" s="235"/>
      <c r="Y82" s="235"/>
      <c r="Z82" s="235"/>
      <c r="AA82" s="236">
        <f t="shared" si="5"/>
        <v>0</v>
      </c>
      <c r="AB82" s="236"/>
      <c r="AC82" s="512">
        <f>AC70+1</f>
        <v>2027</v>
      </c>
      <c r="AD82" s="234" t="s">
        <v>225</v>
      </c>
      <c r="AE82" s="235"/>
      <c r="AF82" s="235"/>
      <c r="AG82" s="235"/>
      <c r="AH82" s="236">
        <f t="shared" si="6"/>
        <v>0</v>
      </c>
      <c r="AI82" s="236"/>
      <c r="AK82" s="240"/>
    </row>
    <row r="83" spans="1:37" x14ac:dyDescent="0.2">
      <c r="A83" s="512"/>
      <c r="B83" s="234" t="s">
        <v>226</v>
      </c>
      <c r="C83" s="235">
        <f t="shared" si="11"/>
        <v>16905.643349999988</v>
      </c>
      <c r="D83" s="235">
        <f t="shared" si="7"/>
        <v>281.76072249999982</v>
      </c>
      <c r="E83" s="235">
        <f t="shared" si="8"/>
        <v>203.68244999999996</v>
      </c>
      <c r="F83" s="236">
        <f t="shared" si="16"/>
        <v>485.44317249999978</v>
      </c>
      <c r="G83" s="238"/>
      <c r="H83" s="514"/>
      <c r="I83" s="234" t="s">
        <v>226</v>
      </c>
      <c r="J83" s="235">
        <f t="shared" si="12"/>
        <v>1477.7209333333344</v>
      </c>
      <c r="K83" s="235">
        <f t="shared" si="9"/>
        <v>24.628682222222242</v>
      </c>
      <c r="L83" s="235">
        <f t="shared" si="10"/>
        <v>17.803866666666668</v>
      </c>
      <c r="M83" s="236">
        <f t="shared" si="1"/>
        <v>42.43254888888891</v>
      </c>
      <c r="N83" s="236"/>
      <c r="O83" s="512"/>
      <c r="P83" s="234" t="s">
        <v>226</v>
      </c>
      <c r="Q83" s="235">
        <f t="shared" si="15"/>
        <v>7689.7431416666623</v>
      </c>
      <c r="R83" s="235">
        <f t="shared" si="13"/>
        <v>128.1623856944444</v>
      </c>
      <c r="S83" s="235">
        <f t="shared" si="14"/>
        <v>71.866758333333323</v>
      </c>
      <c r="T83" s="236">
        <f t="shared" si="4"/>
        <v>200.0291440277777</v>
      </c>
      <c r="U83" s="236"/>
      <c r="V83" s="512"/>
      <c r="W83" s="234" t="s">
        <v>226</v>
      </c>
      <c r="X83" s="235"/>
      <c r="Y83" s="235"/>
      <c r="Z83" s="235"/>
      <c r="AA83" s="236">
        <f t="shared" si="5"/>
        <v>0</v>
      </c>
      <c r="AB83" s="236"/>
      <c r="AC83" s="512"/>
      <c r="AD83" s="234" t="s">
        <v>226</v>
      </c>
      <c r="AE83" s="235"/>
      <c r="AF83" s="235"/>
      <c r="AG83" s="235"/>
      <c r="AH83" s="236">
        <f t="shared" si="6"/>
        <v>0</v>
      </c>
      <c r="AI83" s="236"/>
      <c r="AK83" s="240"/>
    </row>
    <row r="84" spans="1:37" x14ac:dyDescent="0.2">
      <c r="A84" s="512"/>
      <c r="B84" s="234" t="s">
        <v>227</v>
      </c>
      <c r="C84" s="235">
        <f t="shared" si="11"/>
        <v>16701.960899999987</v>
      </c>
      <c r="D84" s="235">
        <f t="shared" si="7"/>
        <v>278.36601499999978</v>
      </c>
      <c r="E84" s="235">
        <f t="shared" si="8"/>
        <v>203.68244999999996</v>
      </c>
      <c r="F84" s="236">
        <f t="shared" si="16"/>
        <v>482.04846499999974</v>
      </c>
      <c r="G84" s="238"/>
      <c r="H84" s="514"/>
      <c r="I84" s="234" t="s">
        <v>227</v>
      </c>
      <c r="J84" s="235">
        <f t="shared" si="12"/>
        <v>1459.9170666666678</v>
      </c>
      <c r="K84" s="235">
        <f t="shared" si="9"/>
        <v>24.331951111111128</v>
      </c>
      <c r="L84" s="235">
        <f t="shared" si="10"/>
        <v>17.803866666666668</v>
      </c>
      <c r="M84" s="236">
        <f t="shared" si="1"/>
        <v>42.135817777777795</v>
      </c>
      <c r="N84" s="236"/>
      <c r="O84" s="512"/>
      <c r="P84" s="234" t="s">
        <v>227</v>
      </c>
      <c r="Q84" s="235">
        <f t="shared" si="15"/>
        <v>7617.8763833333287</v>
      </c>
      <c r="R84" s="235">
        <f t="shared" si="13"/>
        <v>126.96460638888881</v>
      </c>
      <c r="S84" s="235">
        <f t="shared" si="14"/>
        <v>71.866758333333323</v>
      </c>
      <c r="T84" s="236">
        <f t="shared" si="4"/>
        <v>198.83136472222213</v>
      </c>
      <c r="U84" s="236"/>
      <c r="V84" s="512"/>
      <c r="W84" s="234" t="s">
        <v>227</v>
      </c>
      <c r="X84" s="235"/>
      <c r="Y84" s="235"/>
      <c r="Z84" s="235"/>
      <c r="AA84" s="236">
        <f t="shared" si="5"/>
        <v>0</v>
      </c>
      <c r="AB84" s="236"/>
      <c r="AC84" s="512"/>
      <c r="AD84" s="234" t="s">
        <v>227</v>
      </c>
      <c r="AE84" s="235"/>
      <c r="AF84" s="235"/>
      <c r="AG84" s="235"/>
      <c r="AH84" s="236">
        <f t="shared" si="6"/>
        <v>0</v>
      </c>
      <c r="AI84" s="236"/>
      <c r="AK84" s="240"/>
    </row>
    <row r="85" spans="1:37" x14ac:dyDescent="0.2">
      <c r="A85" s="512"/>
      <c r="B85" s="234" t="s">
        <v>228</v>
      </c>
      <c r="C85" s="235">
        <f t="shared" si="11"/>
        <v>16498.278449999987</v>
      </c>
      <c r="D85" s="235">
        <f t="shared" si="7"/>
        <v>274.9713074999998</v>
      </c>
      <c r="E85" s="235">
        <f t="shared" si="8"/>
        <v>203.68244999999996</v>
      </c>
      <c r="F85" s="236">
        <f t="shared" si="16"/>
        <v>478.65375749999976</v>
      </c>
      <c r="G85" s="238"/>
      <c r="H85" s="514"/>
      <c r="I85" s="234" t="s">
        <v>228</v>
      </c>
      <c r="J85" s="235">
        <f t="shared" si="12"/>
        <v>1442.1132000000011</v>
      </c>
      <c r="K85" s="235">
        <f t="shared" si="9"/>
        <v>24.03522000000002</v>
      </c>
      <c r="L85" s="235">
        <f t="shared" si="10"/>
        <v>17.803866666666668</v>
      </c>
      <c r="M85" s="236">
        <f t="shared" si="1"/>
        <v>41.839086666666688</v>
      </c>
      <c r="N85" s="236"/>
      <c r="O85" s="512"/>
      <c r="P85" s="234" t="s">
        <v>228</v>
      </c>
      <c r="Q85" s="235">
        <f t="shared" si="15"/>
        <v>7546.0096249999951</v>
      </c>
      <c r="R85" s="235">
        <f t="shared" si="13"/>
        <v>125.76682708333327</v>
      </c>
      <c r="S85" s="235">
        <f t="shared" si="14"/>
        <v>71.866758333333323</v>
      </c>
      <c r="T85" s="236">
        <f t="shared" si="4"/>
        <v>197.63358541666659</v>
      </c>
      <c r="U85" s="236"/>
      <c r="V85" s="512"/>
      <c r="W85" s="234" t="s">
        <v>228</v>
      </c>
      <c r="X85" s="235"/>
      <c r="Y85" s="235"/>
      <c r="Z85" s="235"/>
      <c r="AA85" s="236">
        <f t="shared" si="5"/>
        <v>0</v>
      </c>
      <c r="AB85" s="236"/>
      <c r="AC85" s="512"/>
      <c r="AD85" s="234" t="s">
        <v>228</v>
      </c>
      <c r="AE85" s="235"/>
      <c r="AF85" s="235"/>
      <c r="AG85" s="235"/>
      <c r="AH85" s="236">
        <f t="shared" si="6"/>
        <v>0</v>
      </c>
      <c r="AI85" s="236"/>
      <c r="AK85" s="240"/>
    </row>
    <row r="86" spans="1:37" x14ac:dyDescent="0.2">
      <c r="A86" s="512"/>
      <c r="B86" s="234" t="s">
        <v>229</v>
      </c>
      <c r="C86" s="235">
        <f t="shared" si="11"/>
        <v>16294.595999999987</v>
      </c>
      <c r="D86" s="235">
        <f t="shared" si="7"/>
        <v>271.57659999999981</v>
      </c>
      <c r="E86" s="235">
        <f t="shared" si="8"/>
        <v>203.68244999999996</v>
      </c>
      <c r="F86" s="236">
        <f t="shared" si="16"/>
        <v>475.25904999999977</v>
      </c>
      <c r="G86" s="238"/>
      <c r="H86" s="514"/>
      <c r="I86" s="234" t="s">
        <v>229</v>
      </c>
      <c r="J86" s="235">
        <f t="shared" si="12"/>
        <v>1424.3093333333345</v>
      </c>
      <c r="K86" s="235">
        <f t="shared" si="9"/>
        <v>23.738488888888909</v>
      </c>
      <c r="L86" s="235">
        <f t="shared" si="10"/>
        <v>17.803866666666668</v>
      </c>
      <c r="M86" s="236">
        <f t="shared" si="1"/>
        <v>41.542355555555574</v>
      </c>
      <c r="N86" s="236"/>
      <c r="O86" s="512"/>
      <c r="P86" s="234" t="s">
        <v>229</v>
      </c>
      <c r="Q86" s="235">
        <f t="shared" si="15"/>
        <v>7474.1428666666616</v>
      </c>
      <c r="R86" s="235">
        <f t="shared" si="13"/>
        <v>124.5690477777777</v>
      </c>
      <c r="S86" s="235">
        <f t="shared" si="14"/>
        <v>71.866758333333323</v>
      </c>
      <c r="T86" s="236">
        <f t="shared" si="4"/>
        <v>196.43580611111102</v>
      </c>
      <c r="U86" s="236"/>
      <c r="V86" s="512"/>
      <c r="W86" s="234" t="s">
        <v>229</v>
      </c>
      <c r="X86" s="235"/>
      <c r="Y86" s="235"/>
      <c r="Z86" s="235"/>
      <c r="AA86" s="236">
        <f t="shared" si="5"/>
        <v>0</v>
      </c>
      <c r="AB86" s="236"/>
      <c r="AC86" s="512"/>
      <c r="AD86" s="234" t="s">
        <v>229</v>
      </c>
      <c r="AE86" s="235"/>
      <c r="AF86" s="235"/>
      <c r="AG86" s="235"/>
      <c r="AH86" s="236">
        <f t="shared" si="6"/>
        <v>0</v>
      </c>
      <c r="AI86" s="236"/>
      <c r="AK86" s="240"/>
    </row>
    <row r="87" spans="1:37" x14ac:dyDescent="0.2">
      <c r="A87" s="512"/>
      <c r="B87" s="234" t="s">
        <v>230</v>
      </c>
      <c r="C87" s="235">
        <f t="shared" si="11"/>
        <v>16090.913549999987</v>
      </c>
      <c r="D87" s="235">
        <f t="shared" si="7"/>
        <v>268.18189249999978</v>
      </c>
      <c r="E87" s="235">
        <f t="shared" si="8"/>
        <v>203.68244999999996</v>
      </c>
      <c r="F87" s="236">
        <f t="shared" si="16"/>
        <v>471.86434249999974</v>
      </c>
      <c r="G87" s="238"/>
      <c r="H87" s="514"/>
      <c r="I87" s="234" t="s">
        <v>230</v>
      </c>
      <c r="J87" s="235">
        <f t="shared" si="12"/>
        <v>1406.5054666666679</v>
      </c>
      <c r="K87" s="235">
        <f t="shared" si="9"/>
        <v>23.441757777777799</v>
      </c>
      <c r="L87" s="235">
        <f t="shared" si="10"/>
        <v>17.803866666666668</v>
      </c>
      <c r="M87" s="236">
        <f t="shared" ref="M87:M150" si="17">K87+L87</f>
        <v>41.245624444444466</v>
      </c>
      <c r="N87" s="236"/>
      <c r="O87" s="512"/>
      <c r="P87" s="234" t="s">
        <v>230</v>
      </c>
      <c r="Q87" s="235">
        <f t="shared" si="15"/>
        <v>7402.276108333328</v>
      </c>
      <c r="R87" s="235">
        <f t="shared" si="13"/>
        <v>123.37126847222214</v>
      </c>
      <c r="S87" s="235">
        <f t="shared" si="14"/>
        <v>71.866758333333323</v>
      </c>
      <c r="T87" s="236">
        <f t="shared" si="4"/>
        <v>195.23802680555548</v>
      </c>
      <c r="U87" s="236"/>
      <c r="V87" s="512"/>
      <c r="W87" s="234" t="s">
        <v>230</v>
      </c>
      <c r="X87" s="235"/>
      <c r="Y87" s="235"/>
      <c r="Z87" s="235"/>
      <c r="AA87" s="236">
        <f t="shared" si="5"/>
        <v>0</v>
      </c>
      <c r="AB87" s="236"/>
      <c r="AC87" s="512"/>
      <c r="AD87" s="234" t="s">
        <v>230</v>
      </c>
      <c r="AE87" s="235"/>
      <c r="AF87" s="235"/>
      <c r="AG87" s="235"/>
      <c r="AH87" s="236">
        <f t="shared" si="6"/>
        <v>0</v>
      </c>
      <c r="AI87" s="236"/>
      <c r="AK87" s="240"/>
    </row>
    <row r="88" spans="1:37" x14ac:dyDescent="0.2">
      <c r="A88" s="512"/>
      <c r="B88" s="234" t="s">
        <v>231</v>
      </c>
      <c r="C88" s="235">
        <f t="shared" si="11"/>
        <v>15887.231099999986</v>
      </c>
      <c r="D88" s="235">
        <f t="shared" si="7"/>
        <v>264.78718499999979</v>
      </c>
      <c r="E88" s="235">
        <f t="shared" si="8"/>
        <v>203.68244999999996</v>
      </c>
      <c r="F88" s="236">
        <f t="shared" si="16"/>
        <v>468.46963499999976</v>
      </c>
      <c r="G88" s="238"/>
      <c r="H88" s="514"/>
      <c r="I88" s="234" t="s">
        <v>231</v>
      </c>
      <c r="J88" s="235">
        <f t="shared" si="12"/>
        <v>1388.7016000000012</v>
      </c>
      <c r="K88" s="235">
        <f t="shared" si="9"/>
        <v>23.145026666666691</v>
      </c>
      <c r="L88" s="235">
        <f t="shared" si="10"/>
        <v>17.803866666666668</v>
      </c>
      <c r="M88" s="236">
        <f t="shared" si="17"/>
        <v>40.948893333333359</v>
      </c>
      <c r="N88" s="236"/>
      <c r="O88" s="512"/>
      <c r="P88" s="234" t="s">
        <v>231</v>
      </c>
      <c r="Q88" s="235">
        <f t="shared" si="15"/>
        <v>7330.4093499999944</v>
      </c>
      <c r="R88" s="235">
        <f t="shared" si="13"/>
        <v>122.17348916666658</v>
      </c>
      <c r="S88" s="235">
        <f t="shared" si="14"/>
        <v>71.866758333333323</v>
      </c>
      <c r="T88" s="236">
        <f t="shared" si="4"/>
        <v>194.04024749999991</v>
      </c>
      <c r="U88" s="236"/>
      <c r="V88" s="512"/>
      <c r="W88" s="234" t="s">
        <v>231</v>
      </c>
      <c r="X88" s="235"/>
      <c r="Y88" s="235"/>
      <c r="Z88" s="235"/>
      <c r="AA88" s="236">
        <f t="shared" si="5"/>
        <v>0</v>
      </c>
      <c r="AB88" s="236"/>
      <c r="AC88" s="512"/>
      <c r="AD88" s="234" t="s">
        <v>231</v>
      </c>
      <c r="AE88" s="235"/>
      <c r="AF88" s="235"/>
      <c r="AG88" s="235"/>
      <c r="AH88" s="236">
        <f t="shared" si="6"/>
        <v>0</v>
      </c>
      <c r="AI88" s="236"/>
      <c r="AK88" s="240"/>
    </row>
    <row r="89" spans="1:37" x14ac:dyDescent="0.2">
      <c r="A89" s="512"/>
      <c r="B89" s="234" t="s">
        <v>232</v>
      </c>
      <c r="C89" s="235">
        <f t="shared" si="11"/>
        <v>15683.548649999986</v>
      </c>
      <c r="D89" s="235">
        <f t="shared" si="7"/>
        <v>261.39247749999976</v>
      </c>
      <c r="E89" s="235">
        <f t="shared" si="8"/>
        <v>203.68244999999996</v>
      </c>
      <c r="F89" s="236">
        <f t="shared" si="16"/>
        <v>465.07492749999972</v>
      </c>
      <c r="G89" s="238"/>
      <c r="H89" s="514"/>
      <c r="I89" s="234" t="s">
        <v>232</v>
      </c>
      <c r="J89" s="235">
        <f t="shared" si="12"/>
        <v>1370.8977333333346</v>
      </c>
      <c r="K89" s="235">
        <f t="shared" si="9"/>
        <v>22.848295555555577</v>
      </c>
      <c r="L89" s="235">
        <f t="shared" si="10"/>
        <v>17.803866666666668</v>
      </c>
      <c r="M89" s="236">
        <f t="shared" si="17"/>
        <v>40.652162222222245</v>
      </c>
      <c r="N89" s="236"/>
      <c r="O89" s="512"/>
      <c r="P89" s="234" t="s">
        <v>232</v>
      </c>
      <c r="Q89" s="235">
        <f t="shared" si="15"/>
        <v>7258.5425916666609</v>
      </c>
      <c r="R89" s="235">
        <f t="shared" si="13"/>
        <v>120.97570986111101</v>
      </c>
      <c r="S89" s="235">
        <f t="shared" si="14"/>
        <v>71.866758333333323</v>
      </c>
      <c r="T89" s="236">
        <f t="shared" si="4"/>
        <v>192.84246819444434</v>
      </c>
      <c r="U89" s="236"/>
      <c r="V89" s="512"/>
      <c r="W89" s="234" t="s">
        <v>232</v>
      </c>
      <c r="X89" s="235"/>
      <c r="Y89" s="235"/>
      <c r="Z89" s="235"/>
      <c r="AA89" s="236">
        <f t="shared" si="5"/>
        <v>0</v>
      </c>
      <c r="AB89" s="236"/>
      <c r="AC89" s="512"/>
      <c r="AD89" s="234" t="s">
        <v>232</v>
      </c>
      <c r="AE89" s="235"/>
      <c r="AF89" s="235"/>
      <c r="AG89" s="235"/>
      <c r="AH89" s="236">
        <f t="shared" si="6"/>
        <v>0</v>
      </c>
      <c r="AI89" s="236"/>
      <c r="AK89" s="240"/>
    </row>
    <row r="90" spans="1:37" x14ac:dyDescent="0.2">
      <c r="A90" s="512"/>
      <c r="B90" s="234" t="s">
        <v>233</v>
      </c>
      <c r="C90" s="235">
        <f t="shared" si="11"/>
        <v>15479.866199999986</v>
      </c>
      <c r="D90" s="235">
        <f t="shared" si="7"/>
        <v>257.99776999999978</v>
      </c>
      <c r="E90" s="235">
        <f t="shared" si="8"/>
        <v>203.68244999999996</v>
      </c>
      <c r="F90" s="236">
        <f t="shared" si="16"/>
        <v>461.68021999999974</v>
      </c>
      <c r="G90" s="238"/>
      <c r="H90" s="514"/>
      <c r="I90" s="234" t="s">
        <v>233</v>
      </c>
      <c r="J90" s="235">
        <f t="shared" si="12"/>
        <v>1353.093866666668</v>
      </c>
      <c r="K90" s="235">
        <f t="shared" si="9"/>
        <v>22.551564444444466</v>
      </c>
      <c r="L90" s="235">
        <f t="shared" si="10"/>
        <v>17.803866666666668</v>
      </c>
      <c r="M90" s="236">
        <f t="shared" si="17"/>
        <v>40.35543111111113</v>
      </c>
      <c r="N90" s="236"/>
      <c r="O90" s="512"/>
      <c r="P90" s="234" t="s">
        <v>233</v>
      </c>
      <c r="Q90" s="235">
        <f t="shared" si="15"/>
        <v>7186.6758333333273</v>
      </c>
      <c r="R90" s="235">
        <f t="shared" si="13"/>
        <v>119.77793055555547</v>
      </c>
      <c r="S90" s="235">
        <f t="shared" si="14"/>
        <v>71.866758333333323</v>
      </c>
      <c r="T90" s="236">
        <f t="shared" si="4"/>
        <v>191.64468888888879</v>
      </c>
      <c r="U90" s="236"/>
      <c r="V90" s="512"/>
      <c r="W90" s="234" t="s">
        <v>233</v>
      </c>
      <c r="X90" s="235"/>
      <c r="Y90" s="235"/>
      <c r="Z90" s="235"/>
      <c r="AA90" s="236">
        <f t="shared" si="5"/>
        <v>0</v>
      </c>
      <c r="AB90" s="236"/>
      <c r="AC90" s="512"/>
      <c r="AD90" s="234" t="s">
        <v>233</v>
      </c>
      <c r="AE90" s="235"/>
      <c r="AF90" s="235"/>
      <c r="AG90" s="235"/>
      <c r="AH90" s="236">
        <f t="shared" si="6"/>
        <v>0</v>
      </c>
      <c r="AI90" s="236"/>
      <c r="AK90" s="240"/>
    </row>
    <row r="91" spans="1:37" x14ac:dyDescent="0.2">
      <c r="A91" s="512"/>
      <c r="B91" s="234" t="s">
        <v>234</v>
      </c>
      <c r="C91" s="235">
        <f t="shared" si="11"/>
        <v>15276.183749999986</v>
      </c>
      <c r="D91" s="235">
        <f t="shared" si="7"/>
        <v>254.60306249999977</v>
      </c>
      <c r="E91" s="235">
        <f t="shared" si="8"/>
        <v>203.68244999999996</v>
      </c>
      <c r="F91" s="236">
        <f t="shared" si="16"/>
        <v>458.28551249999975</v>
      </c>
      <c r="G91" s="238"/>
      <c r="H91" s="514"/>
      <c r="I91" s="234" t="s">
        <v>234</v>
      </c>
      <c r="J91" s="235">
        <f t="shared" si="12"/>
        <v>1335.2900000000013</v>
      </c>
      <c r="K91" s="235">
        <f t="shared" si="9"/>
        <v>22.254833333333355</v>
      </c>
      <c r="L91" s="235">
        <f t="shared" si="10"/>
        <v>17.803866666666668</v>
      </c>
      <c r="M91" s="236">
        <f t="shared" si="17"/>
        <v>40.058700000000023</v>
      </c>
      <c r="N91" s="236"/>
      <c r="O91" s="512"/>
      <c r="P91" s="234" t="s">
        <v>234</v>
      </c>
      <c r="Q91" s="235">
        <f t="shared" si="15"/>
        <v>7114.8090749999938</v>
      </c>
      <c r="R91" s="235">
        <f t="shared" si="13"/>
        <v>118.5801512499999</v>
      </c>
      <c r="S91" s="235">
        <f t="shared" si="14"/>
        <v>71.866758333333323</v>
      </c>
      <c r="T91" s="236">
        <f t="shared" si="4"/>
        <v>190.44690958333322</v>
      </c>
      <c r="U91" s="236"/>
      <c r="V91" s="512"/>
      <c r="W91" s="234" t="s">
        <v>234</v>
      </c>
      <c r="X91" s="235"/>
      <c r="Y91" s="235"/>
      <c r="Z91" s="235"/>
      <c r="AA91" s="236">
        <f t="shared" si="5"/>
        <v>0</v>
      </c>
      <c r="AB91" s="236"/>
      <c r="AC91" s="512"/>
      <c r="AD91" s="234" t="s">
        <v>234</v>
      </c>
      <c r="AE91" s="235"/>
      <c r="AF91" s="235"/>
      <c r="AG91" s="235"/>
      <c r="AH91" s="236">
        <f t="shared" si="6"/>
        <v>0</v>
      </c>
      <c r="AI91" s="236"/>
      <c r="AK91" s="240"/>
    </row>
    <row r="92" spans="1:37" x14ac:dyDescent="0.2">
      <c r="A92" s="512"/>
      <c r="B92" s="234" t="s">
        <v>235</v>
      </c>
      <c r="C92" s="235">
        <f t="shared" si="11"/>
        <v>15072.501299999985</v>
      </c>
      <c r="D92" s="235">
        <f t="shared" si="7"/>
        <v>251.20835499999976</v>
      </c>
      <c r="E92" s="235">
        <f t="shared" si="8"/>
        <v>203.68244999999996</v>
      </c>
      <c r="F92" s="236">
        <f t="shared" si="16"/>
        <v>454.89080499999972</v>
      </c>
      <c r="G92" s="238"/>
      <c r="H92" s="514"/>
      <c r="I92" s="234" t="s">
        <v>235</v>
      </c>
      <c r="J92" s="235">
        <f t="shared" si="12"/>
        <v>1317.4861333333347</v>
      </c>
      <c r="K92" s="235">
        <f t="shared" si="9"/>
        <v>21.958102222222248</v>
      </c>
      <c r="L92" s="235">
        <f t="shared" si="10"/>
        <v>17.803866666666668</v>
      </c>
      <c r="M92" s="236">
        <f t="shared" si="17"/>
        <v>39.761968888888916</v>
      </c>
      <c r="N92" s="236"/>
      <c r="O92" s="512"/>
      <c r="P92" s="234" t="s">
        <v>235</v>
      </c>
      <c r="Q92" s="235">
        <f t="shared" si="15"/>
        <v>7042.9423166666602</v>
      </c>
      <c r="R92" s="235">
        <f t="shared" si="13"/>
        <v>117.38237194444434</v>
      </c>
      <c r="S92" s="235">
        <f t="shared" si="14"/>
        <v>71.866758333333323</v>
      </c>
      <c r="T92" s="236">
        <f t="shared" si="4"/>
        <v>189.24913027777768</v>
      </c>
      <c r="U92" s="236"/>
      <c r="V92" s="512"/>
      <c r="W92" s="234" t="s">
        <v>235</v>
      </c>
      <c r="X92" s="235"/>
      <c r="Y92" s="235"/>
      <c r="Z92" s="235"/>
      <c r="AA92" s="236">
        <f t="shared" si="5"/>
        <v>0</v>
      </c>
      <c r="AB92" s="236"/>
      <c r="AC92" s="512"/>
      <c r="AD92" s="234" t="s">
        <v>235</v>
      </c>
      <c r="AE92" s="235"/>
      <c r="AF92" s="235"/>
      <c r="AG92" s="235"/>
      <c r="AH92" s="236">
        <f t="shared" si="6"/>
        <v>0</v>
      </c>
      <c r="AI92" s="236"/>
      <c r="AK92" s="240"/>
    </row>
    <row r="93" spans="1:37" x14ac:dyDescent="0.2">
      <c r="A93" s="512"/>
      <c r="B93" s="234" t="s">
        <v>236</v>
      </c>
      <c r="C93" s="235">
        <f t="shared" si="11"/>
        <v>14868.818849999985</v>
      </c>
      <c r="D93" s="235">
        <f t="shared" si="7"/>
        <v>247.81364749999977</v>
      </c>
      <c r="E93" s="235">
        <f t="shared" si="8"/>
        <v>203.68244999999996</v>
      </c>
      <c r="F93" s="236">
        <f t="shared" si="16"/>
        <v>451.49609749999973</v>
      </c>
      <c r="G93" s="239">
        <f>SUM(D82:D93)</f>
        <v>3197.8144649999972</v>
      </c>
      <c r="H93" s="515"/>
      <c r="I93" s="234" t="s">
        <v>236</v>
      </c>
      <c r="J93" s="235">
        <f t="shared" si="12"/>
        <v>1299.6822666666681</v>
      </c>
      <c r="K93" s="235">
        <f t="shared" si="9"/>
        <v>21.661371111111137</v>
      </c>
      <c r="L93" s="235">
        <f t="shared" si="10"/>
        <v>17.803866666666668</v>
      </c>
      <c r="M93" s="236">
        <f t="shared" si="17"/>
        <v>39.465237777777801</v>
      </c>
      <c r="N93" s="239">
        <f>SUM(K82:K93)</f>
        <v>279.52070666666691</v>
      </c>
      <c r="O93" s="512"/>
      <c r="P93" s="234" t="s">
        <v>236</v>
      </c>
      <c r="Q93" s="235">
        <f t="shared" si="15"/>
        <v>6971.0755583333266</v>
      </c>
      <c r="R93" s="235">
        <f t="shared" si="13"/>
        <v>116.18459263888879</v>
      </c>
      <c r="S93" s="235">
        <f t="shared" si="14"/>
        <v>71.866758333333323</v>
      </c>
      <c r="T93" s="236">
        <f t="shared" si="4"/>
        <v>188.05135097222211</v>
      </c>
      <c r="U93" s="239">
        <f>SUM(R82:R93)</f>
        <v>1473.2685458333322</v>
      </c>
      <c r="V93" s="512"/>
      <c r="W93" s="234" t="s">
        <v>236</v>
      </c>
      <c r="X93" s="235"/>
      <c r="Y93" s="235"/>
      <c r="Z93" s="235"/>
      <c r="AA93" s="236">
        <f t="shared" si="5"/>
        <v>0</v>
      </c>
      <c r="AB93" s="239">
        <f>SUM(Y82:Y93)</f>
        <v>0</v>
      </c>
      <c r="AC93" s="512"/>
      <c r="AD93" s="234" t="s">
        <v>236</v>
      </c>
      <c r="AE93" s="235"/>
      <c r="AF93" s="235"/>
      <c r="AG93" s="235"/>
      <c r="AH93" s="236">
        <f t="shared" si="6"/>
        <v>0</v>
      </c>
      <c r="AI93" s="239">
        <f>SUM(AF82:AF93)</f>
        <v>0</v>
      </c>
      <c r="AJ93" s="208">
        <f>AJ81+1</f>
        <v>2028</v>
      </c>
      <c r="AK93" s="240">
        <f>G93+N93+U93+AB93+AI93</f>
        <v>4950.6037174999965</v>
      </c>
    </row>
    <row r="94" spans="1:37" x14ac:dyDescent="0.2">
      <c r="A94" s="512">
        <f>A82+1</f>
        <v>2029</v>
      </c>
      <c r="B94" s="234" t="s">
        <v>225</v>
      </c>
      <c r="C94" s="235">
        <f t="shared" si="11"/>
        <v>14665.136399999985</v>
      </c>
      <c r="D94" s="235">
        <f t="shared" si="7"/>
        <v>244.41893999999976</v>
      </c>
      <c r="E94" s="235">
        <f t="shared" si="8"/>
        <v>203.68244999999996</v>
      </c>
      <c r="F94" s="236">
        <f t="shared" si="16"/>
        <v>448.1013899999997</v>
      </c>
      <c r="G94" s="237"/>
      <c r="H94" s="513">
        <f>H82+1</f>
        <v>2029</v>
      </c>
      <c r="I94" s="234" t="s">
        <v>225</v>
      </c>
      <c r="J94" s="235">
        <f t="shared" si="12"/>
        <v>1281.8784000000014</v>
      </c>
      <c r="K94" s="235">
        <f t="shared" si="9"/>
        <v>21.364640000000023</v>
      </c>
      <c r="L94" s="235">
        <f t="shared" si="10"/>
        <v>17.803866666666668</v>
      </c>
      <c r="M94" s="236">
        <f t="shared" si="17"/>
        <v>39.168506666666687</v>
      </c>
      <c r="N94" s="236"/>
      <c r="O94" s="512">
        <f>O82+1</f>
        <v>2029</v>
      </c>
      <c r="P94" s="234" t="s">
        <v>225</v>
      </c>
      <c r="Q94" s="235">
        <f t="shared" si="15"/>
        <v>6899.2087999999931</v>
      </c>
      <c r="R94" s="235">
        <f t="shared" si="13"/>
        <v>114.98681333333322</v>
      </c>
      <c r="S94" s="235">
        <f t="shared" si="14"/>
        <v>71.866758333333323</v>
      </c>
      <c r="T94" s="236">
        <f t="shared" si="4"/>
        <v>186.85357166666654</v>
      </c>
      <c r="U94" s="236"/>
      <c r="V94" s="512">
        <f>V82+1</f>
        <v>2028</v>
      </c>
      <c r="W94" s="234" t="s">
        <v>225</v>
      </c>
      <c r="X94" s="235"/>
      <c r="Y94" s="235"/>
      <c r="Z94" s="235"/>
      <c r="AA94" s="236">
        <f t="shared" si="5"/>
        <v>0</v>
      </c>
      <c r="AB94" s="236"/>
      <c r="AC94" s="512">
        <f>AC82+1</f>
        <v>2028</v>
      </c>
      <c r="AD94" s="234" t="s">
        <v>225</v>
      </c>
      <c r="AE94" s="235"/>
      <c r="AF94" s="235"/>
      <c r="AG94" s="235"/>
      <c r="AH94" s="236">
        <f t="shared" si="6"/>
        <v>0</v>
      </c>
      <c r="AI94" s="236"/>
      <c r="AK94" s="240"/>
    </row>
    <row r="95" spans="1:37" x14ac:dyDescent="0.2">
      <c r="A95" s="512"/>
      <c r="B95" s="234" t="s">
        <v>226</v>
      </c>
      <c r="C95" s="235">
        <f t="shared" si="11"/>
        <v>14461.453949999985</v>
      </c>
      <c r="D95" s="235">
        <f t="shared" si="7"/>
        <v>241.02423249999978</v>
      </c>
      <c r="E95" s="235">
        <f t="shared" si="8"/>
        <v>203.68244999999996</v>
      </c>
      <c r="F95" s="236">
        <f t="shared" si="16"/>
        <v>444.70668249999972</v>
      </c>
      <c r="G95" s="238"/>
      <c r="H95" s="514"/>
      <c r="I95" s="234" t="s">
        <v>226</v>
      </c>
      <c r="J95" s="235">
        <f t="shared" si="12"/>
        <v>1264.0745333333348</v>
      </c>
      <c r="K95" s="235">
        <f t="shared" si="9"/>
        <v>21.067908888888912</v>
      </c>
      <c r="L95" s="235">
        <f t="shared" si="10"/>
        <v>17.803866666666668</v>
      </c>
      <c r="M95" s="236">
        <f t="shared" si="17"/>
        <v>38.87177555555558</v>
      </c>
      <c r="N95" s="236"/>
      <c r="O95" s="512"/>
      <c r="P95" s="234" t="s">
        <v>226</v>
      </c>
      <c r="Q95" s="235">
        <f t="shared" si="15"/>
        <v>6827.3420416666595</v>
      </c>
      <c r="R95" s="235">
        <f t="shared" si="13"/>
        <v>113.78903402777767</v>
      </c>
      <c r="S95" s="235">
        <f t="shared" si="14"/>
        <v>71.866758333333323</v>
      </c>
      <c r="T95" s="236">
        <f t="shared" si="4"/>
        <v>185.655792361111</v>
      </c>
      <c r="U95" s="236"/>
      <c r="V95" s="512"/>
      <c r="W95" s="234" t="s">
        <v>226</v>
      </c>
      <c r="X95" s="235"/>
      <c r="Y95" s="235"/>
      <c r="Z95" s="235"/>
      <c r="AA95" s="236">
        <f t="shared" si="5"/>
        <v>0</v>
      </c>
      <c r="AB95" s="236"/>
      <c r="AC95" s="512"/>
      <c r="AD95" s="234" t="s">
        <v>226</v>
      </c>
      <c r="AE95" s="235"/>
      <c r="AF95" s="235"/>
      <c r="AG95" s="235"/>
      <c r="AH95" s="236">
        <f t="shared" si="6"/>
        <v>0</v>
      </c>
      <c r="AI95" s="236"/>
      <c r="AK95" s="240"/>
    </row>
    <row r="96" spans="1:37" x14ac:dyDescent="0.2">
      <c r="A96" s="512"/>
      <c r="B96" s="234" t="s">
        <v>227</v>
      </c>
      <c r="C96" s="235">
        <f t="shared" si="11"/>
        <v>14257.771499999984</v>
      </c>
      <c r="D96" s="235">
        <f t="shared" si="7"/>
        <v>237.62952499999975</v>
      </c>
      <c r="E96" s="235">
        <f t="shared" si="8"/>
        <v>203.68244999999996</v>
      </c>
      <c r="F96" s="236">
        <f t="shared" si="16"/>
        <v>441.31197499999973</v>
      </c>
      <c r="G96" s="238"/>
      <c r="H96" s="514"/>
      <c r="I96" s="234" t="s">
        <v>227</v>
      </c>
      <c r="J96" s="235">
        <f t="shared" si="12"/>
        <v>1246.2706666666681</v>
      </c>
      <c r="K96" s="235">
        <f t="shared" si="9"/>
        <v>20.771177777777805</v>
      </c>
      <c r="L96" s="235">
        <f t="shared" si="10"/>
        <v>17.803866666666668</v>
      </c>
      <c r="M96" s="236">
        <f t="shared" si="17"/>
        <v>38.575044444444472</v>
      </c>
      <c r="N96" s="236"/>
      <c r="O96" s="512"/>
      <c r="P96" s="234" t="s">
        <v>227</v>
      </c>
      <c r="Q96" s="235">
        <f t="shared" si="15"/>
        <v>6755.4752833333259</v>
      </c>
      <c r="R96" s="235">
        <f t="shared" si="13"/>
        <v>112.5912547222221</v>
      </c>
      <c r="S96" s="235">
        <f t="shared" si="14"/>
        <v>71.866758333333323</v>
      </c>
      <c r="T96" s="236">
        <f t="shared" si="4"/>
        <v>184.45801305555543</v>
      </c>
      <c r="U96" s="236"/>
      <c r="V96" s="512"/>
      <c r="W96" s="234" t="s">
        <v>227</v>
      </c>
      <c r="X96" s="235"/>
      <c r="Y96" s="235"/>
      <c r="Z96" s="235"/>
      <c r="AA96" s="236">
        <f t="shared" si="5"/>
        <v>0</v>
      </c>
      <c r="AB96" s="236"/>
      <c r="AC96" s="512"/>
      <c r="AD96" s="234" t="s">
        <v>227</v>
      </c>
      <c r="AE96" s="235"/>
      <c r="AF96" s="235"/>
      <c r="AG96" s="235"/>
      <c r="AH96" s="236">
        <f t="shared" si="6"/>
        <v>0</v>
      </c>
      <c r="AI96" s="236"/>
      <c r="AK96" s="240"/>
    </row>
    <row r="97" spans="1:37" x14ac:dyDescent="0.2">
      <c r="A97" s="512"/>
      <c r="B97" s="234" t="s">
        <v>228</v>
      </c>
      <c r="C97" s="235">
        <f t="shared" si="11"/>
        <v>14054.089049999984</v>
      </c>
      <c r="D97" s="235">
        <f t="shared" si="7"/>
        <v>234.23481749999974</v>
      </c>
      <c r="E97" s="235">
        <f t="shared" si="8"/>
        <v>203.68244999999996</v>
      </c>
      <c r="F97" s="236">
        <f t="shared" si="16"/>
        <v>437.9172674999997</v>
      </c>
      <c r="G97" s="238"/>
      <c r="H97" s="514"/>
      <c r="I97" s="234" t="s">
        <v>228</v>
      </c>
      <c r="J97" s="235">
        <f t="shared" si="12"/>
        <v>1228.4668000000015</v>
      </c>
      <c r="K97" s="235">
        <f t="shared" si="9"/>
        <v>20.474446666666694</v>
      </c>
      <c r="L97" s="235">
        <f t="shared" si="10"/>
        <v>17.803866666666668</v>
      </c>
      <c r="M97" s="236">
        <f t="shared" si="17"/>
        <v>38.278313333333358</v>
      </c>
      <c r="N97" s="236"/>
      <c r="O97" s="512"/>
      <c r="P97" s="234" t="s">
        <v>228</v>
      </c>
      <c r="Q97" s="235">
        <f t="shared" si="15"/>
        <v>6683.6085249999924</v>
      </c>
      <c r="R97" s="235">
        <f t="shared" si="13"/>
        <v>111.39347541666655</v>
      </c>
      <c r="S97" s="235">
        <f t="shared" si="14"/>
        <v>71.866758333333323</v>
      </c>
      <c r="T97" s="236">
        <f t="shared" si="4"/>
        <v>183.26023374999988</v>
      </c>
      <c r="U97" s="236"/>
      <c r="V97" s="512"/>
      <c r="W97" s="234" t="s">
        <v>228</v>
      </c>
      <c r="X97" s="235"/>
      <c r="Y97" s="235"/>
      <c r="Z97" s="235"/>
      <c r="AA97" s="236">
        <f t="shared" si="5"/>
        <v>0</v>
      </c>
      <c r="AB97" s="236"/>
      <c r="AC97" s="512"/>
      <c r="AD97" s="234" t="s">
        <v>228</v>
      </c>
      <c r="AE97" s="235"/>
      <c r="AF97" s="235"/>
      <c r="AG97" s="235"/>
      <c r="AH97" s="236">
        <f t="shared" si="6"/>
        <v>0</v>
      </c>
      <c r="AI97" s="236"/>
      <c r="AK97" s="240"/>
    </row>
    <row r="98" spans="1:37" x14ac:dyDescent="0.2">
      <c r="A98" s="512"/>
      <c r="B98" s="234" t="s">
        <v>229</v>
      </c>
      <c r="C98" s="235">
        <f t="shared" si="11"/>
        <v>13850.406599999984</v>
      </c>
      <c r="D98" s="235">
        <f t="shared" si="7"/>
        <v>230.84010999999975</v>
      </c>
      <c r="E98" s="235">
        <f t="shared" si="8"/>
        <v>203.68244999999996</v>
      </c>
      <c r="F98" s="236">
        <f t="shared" si="16"/>
        <v>434.52255999999971</v>
      </c>
      <c r="G98" s="238"/>
      <c r="H98" s="514"/>
      <c r="I98" s="234" t="s">
        <v>229</v>
      </c>
      <c r="J98" s="235">
        <f t="shared" si="12"/>
        <v>1210.6629333333349</v>
      </c>
      <c r="K98" s="235">
        <f t="shared" si="9"/>
        <v>20.177715555555583</v>
      </c>
      <c r="L98" s="235">
        <f t="shared" si="10"/>
        <v>17.803866666666668</v>
      </c>
      <c r="M98" s="236">
        <f t="shared" si="17"/>
        <v>37.981582222222251</v>
      </c>
      <c r="N98" s="236"/>
      <c r="O98" s="512"/>
      <c r="P98" s="234" t="s">
        <v>229</v>
      </c>
      <c r="Q98" s="235">
        <f t="shared" si="15"/>
        <v>6611.7417666666588</v>
      </c>
      <c r="R98" s="235">
        <f t="shared" si="13"/>
        <v>110.19569611111099</v>
      </c>
      <c r="S98" s="235">
        <f t="shared" si="14"/>
        <v>71.866758333333323</v>
      </c>
      <c r="T98" s="236">
        <f t="shared" si="4"/>
        <v>182.06245444444431</v>
      </c>
      <c r="U98" s="236"/>
      <c r="V98" s="512"/>
      <c r="W98" s="234" t="s">
        <v>229</v>
      </c>
      <c r="X98" s="235"/>
      <c r="Y98" s="235"/>
      <c r="Z98" s="235"/>
      <c r="AA98" s="236">
        <f t="shared" si="5"/>
        <v>0</v>
      </c>
      <c r="AB98" s="236"/>
      <c r="AC98" s="512"/>
      <c r="AD98" s="234" t="s">
        <v>229</v>
      </c>
      <c r="AE98" s="235"/>
      <c r="AF98" s="235"/>
      <c r="AG98" s="235"/>
      <c r="AH98" s="236">
        <f t="shared" si="6"/>
        <v>0</v>
      </c>
      <c r="AI98" s="236"/>
      <c r="AK98" s="240"/>
    </row>
    <row r="99" spans="1:37" x14ac:dyDescent="0.2">
      <c r="A99" s="512"/>
      <c r="B99" s="234" t="s">
        <v>230</v>
      </c>
      <c r="C99" s="235">
        <f t="shared" si="11"/>
        <v>13646.724149999984</v>
      </c>
      <c r="D99" s="235">
        <f t="shared" si="7"/>
        <v>227.44540249999974</v>
      </c>
      <c r="E99" s="235">
        <f t="shared" si="8"/>
        <v>203.68244999999996</v>
      </c>
      <c r="F99" s="236">
        <f t="shared" si="16"/>
        <v>431.12785249999968</v>
      </c>
      <c r="G99" s="238"/>
      <c r="H99" s="514"/>
      <c r="I99" s="234" t="s">
        <v>230</v>
      </c>
      <c r="J99" s="235">
        <f t="shared" si="12"/>
        <v>1192.8590666666682</v>
      </c>
      <c r="K99" s="235">
        <f t="shared" si="9"/>
        <v>19.880984444444472</v>
      </c>
      <c r="L99" s="235">
        <f t="shared" si="10"/>
        <v>17.803866666666668</v>
      </c>
      <c r="M99" s="236">
        <f t="shared" si="17"/>
        <v>37.684851111111143</v>
      </c>
      <c r="N99" s="236"/>
      <c r="O99" s="512"/>
      <c r="P99" s="234" t="s">
        <v>230</v>
      </c>
      <c r="Q99" s="235">
        <f t="shared" si="15"/>
        <v>6539.8750083333252</v>
      </c>
      <c r="R99" s="235">
        <f t="shared" si="13"/>
        <v>108.99791680555542</v>
      </c>
      <c r="S99" s="235">
        <f t="shared" si="14"/>
        <v>71.866758333333323</v>
      </c>
      <c r="T99" s="236">
        <f t="shared" si="4"/>
        <v>180.86467513888874</v>
      </c>
      <c r="U99" s="236"/>
      <c r="V99" s="512"/>
      <c r="W99" s="234" t="s">
        <v>230</v>
      </c>
      <c r="X99" s="235"/>
      <c r="Y99" s="235"/>
      <c r="Z99" s="235"/>
      <c r="AA99" s="236">
        <f t="shared" si="5"/>
        <v>0</v>
      </c>
      <c r="AB99" s="236"/>
      <c r="AC99" s="512"/>
      <c r="AD99" s="234" t="s">
        <v>230</v>
      </c>
      <c r="AE99" s="235"/>
      <c r="AF99" s="235"/>
      <c r="AG99" s="235"/>
      <c r="AH99" s="236">
        <f t="shared" si="6"/>
        <v>0</v>
      </c>
      <c r="AI99" s="236"/>
      <c r="AK99" s="240"/>
    </row>
    <row r="100" spans="1:37" x14ac:dyDescent="0.2">
      <c r="A100" s="512"/>
      <c r="B100" s="234" t="s">
        <v>231</v>
      </c>
      <c r="C100" s="235">
        <f t="shared" si="11"/>
        <v>13443.041699999983</v>
      </c>
      <c r="D100" s="235">
        <f t="shared" si="7"/>
        <v>224.05069499999976</v>
      </c>
      <c r="E100" s="235">
        <f t="shared" si="8"/>
        <v>203.68244999999996</v>
      </c>
      <c r="F100" s="236">
        <f t="shared" si="16"/>
        <v>427.73314499999969</v>
      </c>
      <c r="G100" s="238"/>
      <c r="H100" s="514"/>
      <c r="I100" s="234" t="s">
        <v>231</v>
      </c>
      <c r="J100" s="235">
        <f t="shared" si="12"/>
        <v>1175.0552000000016</v>
      </c>
      <c r="K100" s="235">
        <f t="shared" si="9"/>
        <v>19.584253333333361</v>
      </c>
      <c r="L100" s="235">
        <f t="shared" si="10"/>
        <v>17.803866666666668</v>
      </c>
      <c r="M100" s="236">
        <f t="shared" si="17"/>
        <v>37.388120000000029</v>
      </c>
      <c r="N100" s="236"/>
      <c r="O100" s="512"/>
      <c r="P100" s="234" t="s">
        <v>231</v>
      </c>
      <c r="Q100" s="235">
        <f t="shared" si="15"/>
        <v>6468.0082499999917</v>
      </c>
      <c r="R100" s="235">
        <f t="shared" si="13"/>
        <v>107.80013749999988</v>
      </c>
      <c r="S100" s="235">
        <f t="shared" si="14"/>
        <v>71.866758333333323</v>
      </c>
      <c r="T100" s="236">
        <f t="shared" ref="T100:T163" si="18">R100+S100</f>
        <v>179.6668958333332</v>
      </c>
      <c r="U100" s="236"/>
      <c r="V100" s="512"/>
      <c r="W100" s="234" t="s">
        <v>231</v>
      </c>
      <c r="X100" s="235"/>
      <c r="Y100" s="235"/>
      <c r="Z100" s="235"/>
      <c r="AA100" s="236">
        <f t="shared" ref="AA100:AA163" si="19">Y100+Z100</f>
        <v>0</v>
      </c>
      <c r="AB100" s="236"/>
      <c r="AC100" s="512"/>
      <c r="AD100" s="234" t="s">
        <v>231</v>
      </c>
      <c r="AE100" s="235"/>
      <c r="AF100" s="235"/>
      <c r="AG100" s="235"/>
      <c r="AH100" s="236">
        <f t="shared" ref="AH100:AH163" si="20">AF100+AG100</f>
        <v>0</v>
      </c>
      <c r="AI100" s="236"/>
      <c r="AK100" s="240"/>
    </row>
    <row r="101" spans="1:37" x14ac:dyDescent="0.2">
      <c r="A101" s="512"/>
      <c r="B101" s="234" t="s">
        <v>232</v>
      </c>
      <c r="C101" s="235">
        <f t="shared" si="11"/>
        <v>13239.359249999983</v>
      </c>
      <c r="D101" s="235">
        <f t="shared" si="7"/>
        <v>220.65598749999972</v>
      </c>
      <c r="E101" s="235">
        <f t="shared" si="8"/>
        <v>203.68244999999996</v>
      </c>
      <c r="F101" s="236">
        <f t="shared" si="16"/>
        <v>424.33843749999971</v>
      </c>
      <c r="G101" s="238"/>
      <c r="H101" s="514"/>
      <c r="I101" s="234" t="s">
        <v>232</v>
      </c>
      <c r="J101" s="235">
        <f t="shared" si="12"/>
        <v>1157.251333333335</v>
      </c>
      <c r="K101" s="235">
        <f t="shared" si="9"/>
        <v>19.28752222222225</v>
      </c>
      <c r="L101" s="235">
        <f t="shared" si="10"/>
        <v>17.803866666666668</v>
      </c>
      <c r="M101" s="236">
        <f t="shared" si="17"/>
        <v>37.091388888888915</v>
      </c>
      <c r="N101" s="236"/>
      <c r="O101" s="512"/>
      <c r="P101" s="234" t="s">
        <v>232</v>
      </c>
      <c r="Q101" s="235">
        <f t="shared" si="15"/>
        <v>6396.1414916666581</v>
      </c>
      <c r="R101" s="235">
        <f t="shared" si="13"/>
        <v>106.60235819444431</v>
      </c>
      <c r="S101" s="235">
        <f t="shared" si="14"/>
        <v>71.866758333333323</v>
      </c>
      <c r="T101" s="236">
        <f t="shared" si="18"/>
        <v>178.46911652777763</v>
      </c>
      <c r="U101" s="236"/>
      <c r="V101" s="512"/>
      <c r="W101" s="234" t="s">
        <v>232</v>
      </c>
      <c r="X101" s="235"/>
      <c r="Y101" s="235"/>
      <c r="Z101" s="235"/>
      <c r="AA101" s="236">
        <f t="shared" si="19"/>
        <v>0</v>
      </c>
      <c r="AB101" s="236"/>
      <c r="AC101" s="512"/>
      <c r="AD101" s="234" t="s">
        <v>232</v>
      </c>
      <c r="AE101" s="235"/>
      <c r="AF101" s="235"/>
      <c r="AG101" s="235"/>
      <c r="AH101" s="236">
        <f t="shared" si="20"/>
        <v>0</v>
      </c>
      <c r="AI101" s="236"/>
      <c r="AK101" s="240"/>
    </row>
    <row r="102" spans="1:37" x14ac:dyDescent="0.2">
      <c r="A102" s="512"/>
      <c r="B102" s="234" t="s">
        <v>233</v>
      </c>
      <c r="C102" s="235">
        <f t="shared" si="11"/>
        <v>13035.676799999983</v>
      </c>
      <c r="D102" s="235">
        <f t="shared" si="7"/>
        <v>217.26127999999972</v>
      </c>
      <c r="E102" s="235">
        <f t="shared" si="8"/>
        <v>203.68244999999996</v>
      </c>
      <c r="F102" s="236">
        <f t="shared" si="16"/>
        <v>420.94372999999968</v>
      </c>
      <c r="G102" s="238"/>
      <c r="H102" s="514"/>
      <c r="I102" s="234" t="s">
        <v>233</v>
      </c>
      <c r="J102" s="235">
        <f t="shared" si="12"/>
        <v>1139.4474666666683</v>
      </c>
      <c r="K102" s="235">
        <f t="shared" si="9"/>
        <v>18.99079111111114</v>
      </c>
      <c r="L102" s="235">
        <f t="shared" si="10"/>
        <v>17.803866666666668</v>
      </c>
      <c r="M102" s="236">
        <f t="shared" si="17"/>
        <v>36.794657777777807</v>
      </c>
      <c r="N102" s="236"/>
      <c r="O102" s="512"/>
      <c r="P102" s="234" t="s">
        <v>233</v>
      </c>
      <c r="Q102" s="235">
        <f t="shared" si="15"/>
        <v>6324.2747333333245</v>
      </c>
      <c r="R102" s="235">
        <f t="shared" si="13"/>
        <v>105.40457888888875</v>
      </c>
      <c r="S102" s="235">
        <f t="shared" si="14"/>
        <v>71.866758333333323</v>
      </c>
      <c r="T102" s="236">
        <f t="shared" si="18"/>
        <v>177.27133722222209</v>
      </c>
      <c r="U102" s="236"/>
      <c r="V102" s="512"/>
      <c r="W102" s="234" t="s">
        <v>233</v>
      </c>
      <c r="X102" s="235"/>
      <c r="Y102" s="235"/>
      <c r="Z102" s="235"/>
      <c r="AA102" s="236">
        <f t="shared" si="19"/>
        <v>0</v>
      </c>
      <c r="AB102" s="236"/>
      <c r="AC102" s="512"/>
      <c r="AD102" s="234" t="s">
        <v>233</v>
      </c>
      <c r="AE102" s="235"/>
      <c r="AF102" s="235"/>
      <c r="AG102" s="235"/>
      <c r="AH102" s="236">
        <f t="shared" si="20"/>
        <v>0</v>
      </c>
      <c r="AI102" s="236"/>
      <c r="AK102" s="240"/>
    </row>
    <row r="103" spans="1:37" x14ac:dyDescent="0.2">
      <c r="A103" s="512"/>
      <c r="B103" s="234" t="s">
        <v>234</v>
      </c>
      <c r="C103" s="235">
        <f t="shared" si="11"/>
        <v>12831.994349999983</v>
      </c>
      <c r="D103" s="235">
        <f t="shared" si="7"/>
        <v>213.86657249999973</v>
      </c>
      <c r="E103" s="235">
        <f t="shared" si="8"/>
        <v>203.68244999999996</v>
      </c>
      <c r="F103" s="236">
        <f t="shared" si="16"/>
        <v>417.54902249999969</v>
      </c>
      <c r="G103" s="238"/>
      <c r="H103" s="514"/>
      <c r="I103" s="234" t="s">
        <v>234</v>
      </c>
      <c r="J103" s="235">
        <f t="shared" si="12"/>
        <v>1121.6436000000017</v>
      </c>
      <c r="K103" s="235">
        <f t="shared" si="9"/>
        <v>18.694060000000029</v>
      </c>
      <c r="L103" s="235">
        <f t="shared" si="10"/>
        <v>17.803866666666668</v>
      </c>
      <c r="M103" s="236">
        <f t="shared" si="17"/>
        <v>36.4979266666667</v>
      </c>
      <c r="N103" s="236"/>
      <c r="O103" s="512"/>
      <c r="P103" s="234" t="s">
        <v>234</v>
      </c>
      <c r="Q103" s="235">
        <f t="shared" si="15"/>
        <v>6252.407974999991</v>
      </c>
      <c r="R103" s="235">
        <f t="shared" si="13"/>
        <v>104.20679958333319</v>
      </c>
      <c r="S103" s="235">
        <f t="shared" si="14"/>
        <v>71.866758333333323</v>
      </c>
      <c r="T103" s="236">
        <f t="shared" si="18"/>
        <v>176.07355791666652</v>
      </c>
      <c r="U103" s="236"/>
      <c r="V103" s="512"/>
      <c r="W103" s="234" t="s">
        <v>234</v>
      </c>
      <c r="X103" s="235"/>
      <c r="Y103" s="235"/>
      <c r="Z103" s="235"/>
      <c r="AA103" s="236">
        <f t="shared" si="19"/>
        <v>0</v>
      </c>
      <c r="AB103" s="236"/>
      <c r="AC103" s="512"/>
      <c r="AD103" s="234" t="s">
        <v>234</v>
      </c>
      <c r="AE103" s="235"/>
      <c r="AF103" s="235"/>
      <c r="AG103" s="235"/>
      <c r="AH103" s="236">
        <f t="shared" si="20"/>
        <v>0</v>
      </c>
      <c r="AI103" s="236"/>
      <c r="AK103" s="240"/>
    </row>
    <row r="104" spans="1:37" x14ac:dyDescent="0.2">
      <c r="A104" s="512"/>
      <c r="B104" s="234" t="s">
        <v>235</v>
      </c>
      <c r="C104" s="235">
        <f t="shared" si="11"/>
        <v>12628.311899999982</v>
      </c>
      <c r="D104" s="235">
        <f t="shared" si="7"/>
        <v>210.47186499999972</v>
      </c>
      <c r="E104" s="235">
        <f t="shared" si="8"/>
        <v>203.68244999999996</v>
      </c>
      <c r="F104" s="236">
        <f t="shared" si="16"/>
        <v>414.15431499999966</v>
      </c>
      <c r="G104" s="238"/>
      <c r="H104" s="514"/>
      <c r="I104" s="234" t="s">
        <v>235</v>
      </c>
      <c r="J104" s="235">
        <f t="shared" si="12"/>
        <v>1103.8397333333351</v>
      </c>
      <c r="K104" s="235">
        <f t="shared" si="9"/>
        <v>18.397328888888918</v>
      </c>
      <c r="L104" s="235">
        <f t="shared" si="10"/>
        <v>17.803866666666668</v>
      </c>
      <c r="M104" s="236">
        <f t="shared" si="17"/>
        <v>36.201195555555586</v>
      </c>
      <c r="N104" s="236"/>
      <c r="O104" s="512"/>
      <c r="P104" s="234" t="s">
        <v>235</v>
      </c>
      <c r="Q104" s="235">
        <f t="shared" si="15"/>
        <v>6180.5412166666574</v>
      </c>
      <c r="R104" s="235">
        <f t="shared" si="13"/>
        <v>103.00902027777762</v>
      </c>
      <c r="S104" s="235">
        <f t="shared" si="14"/>
        <v>71.866758333333323</v>
      </c>
      <c r="T104" s="236">
        <f t="shared" si="18"/>
        <v>174.87577861111095</v>
      </c>
      <c r="U104" s="236"/>
      <c r="V104" s="512"/>
      <c r="W104" s="234" t="s">
        <v>235</v>
      </c>
      <c r="X104" s="235"/>
      <c r="Y104" s="235"/>
      <c r="Z104" s="235"/>
      <c r="AA104" s="236">
        <f t="shared" si="19"/>
        <v>0</v>
      </c>
      <c r="AB104" s="236"/>
      <c r="AC104" s="512"/>
      <c r="AD104" s="234" t="s">
        <v>235</v>
      </c>
      <c r="AE104" s="235"/>
      <c r="AF104" s="235"/>
      <c r="AG104" s="235"/>
      <c r="AH104" s="236">
        <f t="shared" si="20"/>
        <v>0</v>
      </c>
      <c r="AI104" s="236"/>
      <c r="AK104" s="240"/>
    </row>
    <row r="105" spans="1:37" x14ac:dyDescent="0.2">
      <c r="A105" s="512"/>
      <c r="B105" s="234" t="s">
        <v>236</v>
      </c>
      <c r="C105" s="235">
        <f t="shared" si="11"/>
        <v>12424.629449999982</v>
      </c>
      <c r="D105" s="235">
        <f t="shared" si="7"/>
        <v>207.07715749999974</v>
      </c>
      <c r="E105" s="235">
        <f t="shared" si="8"/>
        <v>203.68244999999996</v>
      </c>
      <c r="F105" s="236">
        <f t="shared" si="16"/>
        <v>410.75960749999967</v>
      </c>
      <c r="G105" s="239">
        <f>SUM(D94:D105)</f>
        <v>2708.9765849999967</v>
      </c>
      <c r="H105" s="515"/>
      <c r="I105" s="234" t="s">
        <v>236</v>
      </c>
      <c r="J105" s="235">
        <f t="shared" si="12"/>
        <v>1086.0358666666684</v>
      </c>
      <c r="K105" s="235">
        <f t="shared" si="9"/>
        <v>18.100597777777807</v>
      </c>
      <c r="L105" s="235">
        <f t="shared" si="10"/>
        <v>17.803866666666668</v>
      </c>
      <c r="M105" s="236">
        <f t="shared" si="17"/>
        <v>35.904464444444471</v>
      </c>
      <c r="N105" s="239">
        <f>SUM(K94:K105)</f>
        <v>236.79142666666701</v>
      </c>
      <c r="O105" s="512"/>
      <c r="P105" s="234" t="s">
        <v>236</v>
      </c>
      <c r="Q105" s="235">
        <f t="shared" si="15"/>
        <v>6108.6744583333239</v>
      </c>
      <c r="R105" s="235">
        <f t="shared" si="13"/>
        <v>101.81124097222208</v>
      </c>
      <c r="S105" s="235">
        <f t="shared" si="14"/>
        <v>71.866758333333323</v>
      </c>
      <c r="T105" s="236">
        <f t="shared" si="18"/>
        <v>173.6779993055554</v>
      </c>
      <c r="U105" s="239">
        <f>SUM(R94:R105)</f>
        <v>1300.7883258333318</v>
      </c>
      <c r="V105" s="512"/>
      <c r="W105" s="234" t="s">
        <v>236</v>
      </c>
      <c r="X105" s="235"/>
      <c r="Y105" s="235"/>
      <c r="Z105" s="235"/>
      <c r="AA105" s="236">
        <f t="shared" si="19"/>
        <v>0</v>
      </c>
      <c r="AB105" s="239">
        <f>SUM(Y94:Y105)</f>
        <v>0</v>
      </c>
      <c r="AC105" s="512"/>
      <c r="AD105" s="234" t="s">
        <v>236</v>
      </c>
      <c r="AE105" s="235"/>
      <c r="AF105" s="235"/>
      <c r="AG105" s="235"/>
      <c r="AH105" s="236">
        <f t="shared" si="20"/>
        <v>0</v>
      </c>
      <c r="AI105" s="239">
        <f>SUM(AF94:AF105)</f>
        <v>0</v>
      </c>
      <c r="AJ105" s="208">
        <f>AJ93+1</f>
        <v>2029</v>
      </c>
      <c r="AK105" s="240">
        <f>G105+N105+U105+AB105+AI105</f>
        <v>4246.5563374999956</v>
      </c>
    </row>
    <row r="106" spans="1:37" x14ac:dyDescent="0.2">
      <c r="A106" s="513">
        <f>A94+1</f>
        <v>2030</v>
      </c>
      <c r="B106" s="234" t="s">
        <v>225</v>
      </c>
      <c r="C106" s="235">
        <f t="shared" si="11"/>
        <v>12220.946999999982</v>
      </c>
      <c r="D106" s="235">
        <f t="shared" si="7"/>
        <v>203.6824499999997</v>
      </c>
      <c r="E106" s="235">
        <f t="shared" si="8"/>
        <v>203.68244999999996</v>
      </c>
      <c r="F106" s="236">
        <f t="shared" si="16"/>
        <v>407.36489999999969</v>
      </c>
      <c r="G106" s="237"/>
      <c r="H106" s="513">
        <f>H94+1</f>
        <v>2030</v>
      </c>
      <c r="I106" s="234" t="s">
        <v>225</v>
      </c>
      <c r="J106" s="235">
        <f t="shared" si="12"/>
        <v>1068.2320000000018</v>
      </c>
      <c r="K106" s="235">
        <f t="shared" si="9"/>
        <v>17.803866666666696</v>
      </c>
      <c r="L106" s="235">
        <f t="shared" si="10"/>
        <v>17.803866666666668</v>
      </c>
      <c r="M106" s="236">
        <f t="shared" si="17"/>
        <v>35.607733333333364</v>
      </c>
      <c r="N106" s="237"/>
      <c r="O106" s="513">
        <f>O94+1</f>
        <v>2030</v>
      </c>
      <c r="P106" s="234" t="s">
        <v>225</v>
      </c>
      <c r="Q106" s="235">
        <f t="shared" si="15"/>
        <v>6036.8076999999903</v>
      </c>
      <c r="R106" s="235">
        <f t="shared" si="13"/>
        <v>100.61346166666651</v>
      </c>
      <c r="S106" s="235">
        <f t="shared" si="14"/>
        <v>71.866758333333323</v>
      </c>
      <c r="T106" s="236">
        <f t="shared" si="18"/>
        <v>172.48021999999983</v>
      </c>
      <c r="U106" s="237"/>
      <c r="V106" s="513">
        <f>V94+1</f>
        <v>2029</v>
      </c>
      <c r="W106" s="234" t="s">
        <v>225</v>
      </c>
      <c r="X106" s="235"/>
      <c r="Y106" s="235"/>
      <c r="Z106" s="235"/>
      <c r="AA106" s="236">
        <f t="shared" si="19"/>
        <v>0</v>
      </c>
      <c r="AB106" s="237"/>
      <c r="AC106" s="513">
        <f>AC94+1</f>
        <v>2029</v>
      </c>
      <c r="AD106" s="234" t="s">
        <v>225</v>
      </c>
      <c r="AE106" s="235"/>
      <c r="AF106" s="235"/>
      <c r="AG106" s="235"/>
      <c r="AH106" s="236">
        <f t="shared" si="20"/>
        <v>0</v>
      </c>
      <c r="AI106" s="237"/>
      <c r="AK106" s="240"/>
    </row>
    <row r="107" spans="1:37" x14ac:dyDescent="0.2">
      <c r="A107" s="514"/>
      <c r="B107" s="234" t="s">
        <v>226</v>
      </c>
      <c r="C107" s="235">
        <f t="shared" si="11"/>
        <v>12017.264549999982</v>
      </c>
      <c r="D107" s="235">
        <f t="shared" si="7"/>
        <v>200.28774249999969</v>
      </c>
      <c r="E107" s="235">
        <f t="shared" si="8"/>
        <v>203.68244999999996</v>
      </c>
      <c r="F107" s="236">
        <f t="shared" si="16"/>
        <v>403.97019249999965</v>
      </c>
      <c r="G107" s="238"/>
      <c r="H107" s="514"/>
      <c r="I107" s="234" t="s">
        <v>226</v>
      </c>
      <c r="J107" s="235">
        <f t="shared" si="12"/>
        <v>1050.4281333333352</v>
      </c>
      <c r="K107" s="235">
        <f t="shared" si="9"/>
        <v>17.507135555555589</v>
      </c>
      <c r="L107" s="235">
        <f t="shared" si="10"/>
        <v>17.803866666666668</v>
      </c>
      <c r="M107" s="236">
        <f t="shared" si="17"/>
        <v>35.311002222222257</v>
      </c>
      <c r="N107" s="238"/>
      <c r="O107" s="514"/>
      <c r="P107" s="234" t="s">
        <v>226</v>
      </c>
      <c r="Q107" s="235">
        <f t="shared" si="15"/>
        <v>5964.9409416666567</v>
      </c>
      <c r="R107" s="235">
        <f t="shared" si="13"/>
        <v>99.415682361110953</v>
      </c>
      <c r="S107" s="235">
        <f t="shared" si="14"/>
        <v>71.866758333333323</v>
      </c>
      <c r="T107" s="236">
        <f t="shared" si="18"/>
        <v>171.28244069444429</v>
      </c>
      <c r="U107" s="238"/>
      <c r="V107" s="514"/>
      <c r="W107" s="234" t="s">
        <v>226</v>
      </c>
      <c r="X107" s="235"/>
      <c r="Y107" s="235"/>
      <c r="Z107" s="235"/>
      <c r="AA107" s="236">
        <f t="shared" si="19"/>
        <v>0</v>
      </c>
      <c r="AB107" s="238"/>
      <c r="AC107" s="514"/>
      <c r="AD107" s="234" t="s">
        <v>226</v>
      </c>
      <c r="AE107" s="235"/>
      <c r="AF107" s="235"/>
      <c r="AG107" s="235"/>
      <c r="AH107" s="236">
        <f t="shared" si="20"/>
        <v>0</v>
      </c>
      <c r="AI107" s="238"/>
      <c r="AK107" s="240"/>
    </row>
    <row r="108" spans="1:37" x14ac:dyDescent="0.2">
      <c r="A108" s="514"/>
      <c r="B108" s="234" t="s">
        <v>227</v>
      </c>
      <c r="C108" s="235">
        <f t="shared" si="11"/>
        <v>11813.582099999981</v>
      </c>
      <c r="D108" s="235">
        <f t="shared" si="7"/>
        <v>196.89303499999971</v>
      </c>
      <c r="E108" s="235">
        <f t="shared" si="8"/>
        <v>203.68244999999996</v>
      </c>
      <c r="F108" s="236">
        <f t="shared" si="16"/>
        <v>400.57548499999967</v>
      </c>
      <c r="G108" s="238"/>
      <c r="H108" s="514"/>
      <c r="I108" s="234" t="s">
        <v>227</v>
      </c>
      <c r="J108" s="235">
        <f t="shared" si="12"/>
        <v>1032.6242666666685</v>
      </c>
      <c r="K108" s="235">
        <f t="shared" si="9"/>
        <v>17.210404444444475</v>
      </c>
      <c r="L108" s="235">
        <f t="shared" si="10"/>
        <v>17.803866666666668</v>
      </c>
      <c r="M108" s="236">
        <f t="shared" si="17"/>
        <v>35.014271111111142</v>
      </c>
      <c r="N108" s="238"/>
      <c r="O108" s="514"/>
      <c r="P108" s="234" t="s">
        <v>227</v>
      </c>
      <c r="Q108" s="235">
        <f t="shared" si="15"/>
        <v>5893.0741833333232</v>
      </c>
      <c r="R108" s="235">
        <f t="shared" si="13"/>
        <v>98.217903055555382</v>
      </c>
      <c r="S108" s="235">
        <f t="shared" si="14"/>
        <v>71.866758333333323</v>
      </c>
      <c r="T108" s="236">
        <f t="shared" si="18"/>
        <v>170.08466138888872</v>
      </c>
      <c r="U108" s="238"/>
      <c r="V108" s="514"/>
      <c r="W108" s="234" t="s">
        <v>227</v>
      </c>
      <c r="X108" s="235"/>
      <c r="Y108" s="235"/>
      <c r="Z108" s="235"/>
      <c r="AA108" s="236">
        <f t="shared" si="19"/>
        <v>0</v>
      </c>
      <c r="AB108" s="238"/>
      <c r="AC108" s="514"/>
      <c r="AD108" s="234" t="s">
        <v>227</v>
      </c>
      <c r="AE108" s="235"/>
      <c r="AF108" s="235"/>
      <c r="AG108" s="235"/>
      <c r="AH108" s="236">
        <f t="shared" si="20"/>
        <v>0</v>
      </c>
      <c r="AI108" s="238"/>
      <c r="AK108" s="240"/>
    </row>
    <row r="109" spans="1:37" x14ac:dyDescent="0.2">
      <c r="A109" s="514"/>
      <c r="B109" s="234" t="s">
        <v>228</v>
      </c>
      <c r="C109" s="235">
        <f t="shared" si="11"/>
        <v>11609.899649999981</v>
      </c>
      <c r="D109" s="235">
        <f t="shared" si="7"/>
        <v>193.4983274999997</v>
      </c>
      <c r="E109" s="235">
        <f t="shared" si="8"/>
        <v>203.68244999999996</v>
      </c>
      <c r="F109" s="236">
        <f t="shared" si="16"/>
        <v>397.18077749999964</v>
      </c>
      <c r="G109" s="238"/>
      <c r="H109" s="514"/>
      <c r="I109" s="234" t="s">
        <v>228</v>
      </c>
      <c r="J109" s="235">
        <f t="shared" si="12"/>
        <v>1014.8204000000019</v>
      </c>
      <c r="K109" s="235">
        <f t="shared" si="9"/>
        <v>16.913673333333367</v>
      </c>
      <c r="L109" s="235">
        <f t="shared" si="10"/>
        <v>17.803866666666668</v>
      </c>
      <c r="M109" s="236">
        <f t="shared" si="17"/>
        <v>34.717540000000035</v>
      </c>
      <c r="N109" s="238"/>
      <c r="O109" s="514"/>
      <c r="P109" s="234" t="s">
        <v>228</v>
      </c>
      <c r="Q109" s="235">
        <f t="shared" si="15"/>
        <v>5821.2074249999896</v>
      </c>
      <c r="R109" s="235">
        <f t="shared" si="13"/>
        <v>97.020123749999826</v>
      </c>
      <c r="S109" s="235">
        <f t="shared" si="14"/>
        <v>71.866758333333323</v>
      </c>
      <c r="T109" s="236">
        <f t="shared" si="18"/>
        <v>168.88688208333315</v>
      </c>
      <c r="U109" s="238"/>
      <c r="V109" s="514"/>
      <c r="W109" s="234" t="s">
        <v>228</v>
      </c>
      <c r="X109" s="235"/>
      <c r="Y109" s="235"/>
      <c r="Z109" s="235"/>
      <c r="AA109" s="236">
        <f t="shared" si="19"/>
        <v>0</v>
      </c>
      <c r="AB109" s="238"/>
      <c r="AC109" s="514"/>
      <c r="AD109" s="234" t="s">
        <v>228</v>
      </c>
      <c r="AE109" s="235"/>
      <c r="AF109" s="235"/>
      <c r="AG109" s="235"/>
      <c r="AH109" s="236">
        <f t="shared" si="20"/>
        <v>0</v>
      </c>
      <c r="AI109" s="238"/>
      <c r="AK109" s="240"/>
    </row>
    <row r="110" spans="1:37" x14ac:dyDescent="0.2">
      <c r="A110" s="514"/>
      <c r="B110" s="234" t="s">
        <v>229</v>
      </c>
      <c r="C110" s="235">
        <f t="shared" si="11"/>
        <v>11406.217199999981</v>
      </c>
      <c r="D110" s="235">
        <f t="shared" ref="D110:D165" si="21">C110*$D$7/12</f>
        <v>190.10361999999967</v>
      </c>
      <c r="E110" s="235">
        <f t="shared" ref="E110:E165" si="22">$C$7/$D$8</f>
        <v>203.68244999999996</v>
      </c>
      <c r="F110" s="236">
        <f t="shared" si="16"/>
        <v>393.78606999999965</v>
      </c>
      <c r="G110" s="238"/>
      <c r="H110" s="514"/>
      <c r="I110" s="234" t="s">
        <v>229</v>
      </c>
      <c r="J110" s="235">
        <f t="shared" si="12"/>
        <v>997.01653333333525</v>
      </c>
      <c r="K110" s="235">
        <f t="shared" ref="K110:K165" si="23">J110*$D$7/12</f>
        <v>16.616942222222253</v>
      </c>
      <c r="L110" s="235">
        <f t="shared" ref="L110:L165" si="24">$J$7/$K$8</f>
        <v>17.803866666666668</v>
      </c>
      <c r="M110" s="236">
        <f t="shared" si="17"/>
        <v>34.420808888888921</v>
      </c>
      <c r="N110" s="238"/>
      <c r="O110" s="514"/>
      <c r="P110" s="234" t="s">
        <v>229</v>
      </c>
      <c r="Q110" s="235">
        <f t="shared" si="15"/>
        <v>5749.340666666656</v>
      </c>
      <c r="R110" s="235">
        <f t="shared" si="13"/>
        <v>95.822344444444283</v>
      </c>
      <c r="S110" s="235">
        <f t="shared" si="14"/>
        <v>71.866758333333323</v>
      </c>
      <c r="T110" s="236">
        <f t="shared" si="18"/>
        <v>167.68910277777761</v>
      </c>
      <c r="U110" s="238"/>
      <c r="V110" s="514"/>
      <c r="W110" s="234" t="s">
        <v>229</v>
      </c>
      <c r="X110" s="235"/>
      <c r="Y110" s="235"/>
      <c r="Z110" s="235"/>
      <c r="AA110" s="236">
        <f t="shared" si="19"/>
        <v>0</v>
      </c>
      <c r="AB110" s="238"/>
      <c r="AC110" s="514"/>
      <c r="AD110" s="234" t="s">
        <v>229</v>
      </c>
      <c r="AE110" s="235"/>
      <c r="AF110" s="235"/>
      <c r="AG110" s="235"/>
      <c r="AH110" s="236">
        <f t="shared" si="20"/>
        <v>0</v>
      </c>
      <c r="AI110" s="238"/>
      <c r="AK110" s="240"/>
    </row>
    <row r="111" spans="1:37" x14ac:dyDescent="0.2">
      <c r="A111" s="514"/>
      <c r="B111" s="234" t="s">
        <v>230</v>
      </c>
      <c r="C111" s="235">
        <f t="shared" ref="C111:C165" si="25">C110-E110</f>
        <v>11202.534749999981</v>
      </c>
      <c r="D111" s="235">
        <f t="shared" si="21"/>
        <v>186.70891249999968</v>
      </c>
      <c r="E111" s="235">
        <f t="shared" si="22"/>
        <v>203.68244999999996</v>
      </c>
      <c r="F111" s="236">
        <f t="shared" si="16"/>
        <v>390.39136249999967</v>
      </c>
      <c r="G111" s="238"/>
      <c r="H111" s="514"/>
      <c r="I111" s="234" t="s">
        <v>230</v>
      </c>
      <c r="J111" s="235">
        <f t="shared" ref="J111:J165" si="26">J110-L110</f>
        <v>979.21266666666861</v>
      </c>
      <c r="K111" s="235">
        <f t="shared" si="23"/>
        <v>16.320211111111146</v>
      </c>
      <c r="L111" s="235">
        <f t="shared" si="24"/>
        <v>17.803866666666668</v>
      </c>
      <c r="M111" s="236">
        <f t="shared" si="17"/>
        <v>34.124077777777813</v>
      </c>
      <c r="N111" s="238"/>
      <c r="O111" s="514"/>
      <c r="P111" s="234" t="s">
        <v>230</v>
      </c>
      <c r="Q111" s="235">
        <f t="shared" si="15"/>
        <v>5677.4739083333225</v>
      </c>
      <c r="R111" s="235">
        <f t="shared" si="13"/>
        <v>94.624565138888713</v>
      </c>
      <c r="S111" s="235">
        <f t="shared" si="14"/>
        <v>71.866758333333323</v>
      </c>
      <c r="T111" s="236">
        <f t="shared" si="18"/>
        <v>166.49132347222204</v>
      </c>
      <c r="U111" s="238"/>
      <c r="V111" s="514"/>
      <c r="W111" s="234" t="s">
        <v>230</v>
      </c>
      <c r="X111" s="235"/>
      <c r="Y111" s="235"/>
      <c r="Z111" s="235"/>
      <c r="AA111" s="236">
        <f t="shared" si="19"/>
        <v>0</v>
      </c>
      <c r="AB111" s="238"/>
      <c r="AC111" s="514"/>
      <c r="AD111" s="234" t="s">
        <v>230</v>
      </c>
      <c r="AE111" s="235"/>
      <c r="AF111" s="235"/>
      <c r="AG111" s="235"/>
      <c r="AH111" s="236">
        <f t="shared" si="20"/>
        <v>0</v>
      </c>
      <c r="AI111" s="238"/>
      <c r="AK111" s="240"/>
    </row>
    <row r="112" spans="1:37" x14ac:dyDescent="0.2">
      <c r="A112" s="514"/>
      <c r="B112" s="234" t="s">
        <v>231</v>
      </c>
      <c r="C112" s="235">
        <f t="shared" si="25"/>
        <v>10998.85229999998</v>
      </c>
      <c r="D112" s="235">
        <f t="shared" si="21"/>
        <v>183.31420499999967</v>
      </c>
      <c r="E112" s="235">
        <f t="shared" si="22"/>
        <v>203.68244999999996</v>
      </c>
      <c r="F112" s="236">
        <f t="shared" si="16"/>
        <v>386.99665499999963</v>
      </c>
      <c r="G112" s="238"/>
      <c r="H112" s="514"/>
      <c r="I112" s="234" t="s">
        <v>231</v>
      </c>
      <c r="J112" s="235">
        <f t="shared" si="26"/>
        <v>961.40880000000197</v>
      </c>
      <c r="K112" s="235">
        <f t="shared" si="23"/>
        <v>16.023480000000035</v>
      </c>
      <c r="L112" s="235">
        <f t="shared" si="24"/>
        <v>17.803866666666668</v>
      </c>
      <c r="M112" s="236">
        <f t="shared" si="17"/>
        <v>33.827346666666699</v>
      </c>
      <c r="N112" s="238"/>
      <c r="O112" s="514"/>
      <c r="P112" s="234" t="s">
        <v>231</v>
      </c>
      <c r="Q112" s="235">
        <f t="shared" si="15"/>
        <v>5605.6071499999889</v>
      </c>
      <c r="R112" s="235">
        <f t="shared" si="13"/>
        <v>93.426785833333156</v>
      </c>
      <c r="S112" s="235">
        <f t="shared" si="14"/>
        <v>71.866758333333323</v>
      </c>
      <c r="T112" s="236">
        <f t="shared" si="18"/>
        <v>165.29354416666649</v>
      </c>
      <c r="U112" s="238"/>
      <c r="V112" s="514"/>
      <c r="W112" s="234" t="s">
        <v>231</v>
      </c>
      <c r="X112" s="235"/>
      <c r="Y112" s="235"/>
      <c r="Z112" s="235"/>
      <c r="AA112" s="236">
        <f t="shared" si="19"/>
        <v>0</v>
      </c>
      <c r="AB112" s="238"/>
      <c r="AC112" s="514"/>
      <c r="AD112" s="234" t="s">
        <v>231</v>
      </c>
      <c r="AE112" s="235"/>
      <c r="AF112" s="235"/>
      <c r="AG112" s="235"/>
      <c r="AH112" s="236">
        <f t="shared" si="20"/>
        <v>0</v>
      </c>
      <c r="AI112" s="238"/>
      <c r="AK112" s="240"/>
    </row>
    <row r="113" spans="1:37" x14ac:dyDescent="0.2">
      <c r="A113" s="514"/>
      <c r="B113" s="234" t="s">
        <v>232</v>
      </c>
      <c r="C113" s="235">
        <f t="shared" si="25"/>
        <v>10795.16984999998</v>
      </c>
      <c r="D113" s="235">
        <f t="shared" si="21"/>
        <v>179.91949749999969</v>
      </c>
      <c r="E113" s="235">
        <f t="shared" si="22"/>
        <v>203.68244999999996</v>
      </c>
      <c r="F113" s="236">
        <f t="shared" si="16"/>
        <v>383.60194749999965</v>
      </c>
      <c r="G113" s="238"/>
      <c r="H113" s="514"/>
      <c r="I113" s="234" t="s">
        <v>232</v>
      </c>
      <c r="J113" s="235">
        <f t="shared" si="26"/>
        <v>943.60493333333534</v>
      </c>
      <c r="K113" s="235">
        <f t="shared" si="23"/>
        <v>15.726748888888922</v>
      </c>
      <c r="L113" s="235">
        <f t="shared" si="24"/>
        <v>17.803866666666668</v>
      </c>
      <c r="M113" s="236">
        <f t="shared" si="17"/>
        <v>33.530615555555592</v>
      </c>
      <c r="N113" s="238"/>
      <c r="O113" s="514"/>
      <c r="P113" s="234" t="s">
        <v>232</v>
      </c>
      <c r="Q113" s="235">
        <f t="shared" si="15"/>
        <v>5533.7403916666553</v>
      </c>
      <c r="R113" s="235">
        <f t="shared" si="13"/>
        <v>92.229006527777585</v>
      </c>
      <c r="S113" s="235">
        <f t="shared" si="14"/>
        <v>71.866758333333323</v>
      </c>
      <c r="T113" s="236">
        <f t="shared" si="18"/>
        <v>164.09576486111092</v>
      </c>
      <c r="U113" s="238"/>
      <c r="V113" s="514"/>
      <c r="W113" s="234" t="s">
        <v>232</v>
      </c>
      <c r="X113" s="235"/>
      <c r="Y113" s="235"/>
      <c r="Z113" s="235"/>
      <c r="AA113" s="236">
        <f t="shared" si="19"/>
        <v>0</v>
      </c>
      <c r="AB113" s="238"/>
      <c r="AC113" s="514"/>
      <c r="AD113" s="234" t="s">
        <v>232</v>
      </c>
      <c r="AE113" s="235"/>
      <c r="AF113" s="235"/>
      <c r="AG113" s="235"/>
      <c r="AH113" s="236">
        <f t="shared" si="20"/>
        <v>0</v>
      </c>
      <c r="AI113" s="238"/>
      <c r="AK113" s="240"/>
    </row>
    <row r="114" spans="1:37" x14ac:dyDescent="0.2">
      <c r="A114" s="514"/>
      <c r="B114" s="234" t="s">
        <v>233</v>
      </c>
      <c r="C114" s="235">
        <f t="shared" si="25"/>
        <v>10591.48739999998</v>
      </c>
      <c r="D114" s="235">
        <f t="shared" si="21"/>
        <v>176.52478999999968</v>
      </c>
      <c r="E114" s="235">
        <f t="shared" si="22"/>
        <v>203.68244999999996</v>
      </c>
      <c r="F114" s="236">
        <f t="shared" si="16"/>
        <v>380.20723999999962</v>
      </c>
      <c r="G114" s="238"/>
      <c r="H114" s="514"/>
      <c r="I114" s="234" t="s">
        <v>233</v>
      </c>
      <c r="J114" s="235">
        <f t="shared" si="26"/>
        <v>925.8010666666687</v>
      </c>
      <c r="K114" s="235">
        <f t="shared" si="23"/>
        <v>15.430017777777813</v>
      </c>
      <c r="L114" s="235">
        <f t="shared" si="24"/>
        <v>17.803866666666668</v>
      </c>
      <c r="M114" s="236">
        <f t="shared" si="17"/>
        <v>33.233884444444485</v>
      </c>
      <c r="N114" s="238"/>
      <c r="O114" s="514"/>
      <c r="P114" s="234" t="s">
        <v>233</v>
      </c>
      <c r="Q114" s="235">
        <f t="shared" si="15"/>
        <v>5461.8736333333218</v>
      </c>
      <c r="R114" s="235">
        <f t="shared" si="13"/>
        <v>91.031227222222029</v>
      </c>
      <c r="S114" s="235">
        <f t="shared" si="14"/>
        <v>71.866758333333323</v>
      </c>
      <c r="T114" s="236">
        <f t="shared" si="18"/>
        <v>162.89798555555535</v>
      </c>
      <c r="U114" s="238"/>
      <c r="V114" s="514"/>
      <c r="W114" s="234" t="s">
        <v>233</v>
      </c>
      <c r="X114" s="235"/>
      <c r="Y114" s="235"/>
      <c r="Z114" s="235"/>
      <c r="AA114" s="236">
        <f t="shared" si="19"/>
        <v>0</v>
      </c>
      <c r="AB114" s="238"/>
      <c r="AC114" s="514"/>
      <c r="AD114" s="234" t="s">
        <v>233</v>
      </c>
      <c r="AE114" s="235"/>
      <c r="AF114" s="235"/>
      <c r="AG114" s="235"/>
      <c r="AH114" s="236">
        <f t="shared" si="20"/>
        <v>0</v>
      </c>
      <c r="AI114" s="238"/>
      <c r="AK114" s="240"/>
    </row>
    <row r="115" spans="1:37" x14ac:dyDescent="0.2">
      <c r="A115" s="514"/>
      <c r="B115" s="234" t="s">
        <v>234</v>
      </c>
      <c r="C115" s="235">
        <f t="shared" si="25"/>
        <v>10387.80494999998</v>
      </c>
      <c r="D115" s="235">
        <f t="shared" si="21"/>
        <v>173.13008249999965</v>
      </c>
      <c r="E115" s="235">
        <f t="shared" si="22"/>
        <v>203.68244999999996</v>
      </c>
      <c r="F115" s="236">
        <f t="shared" si="16"/>
        <v>376.81253249999963</v>
      </c>
      <c r="G115" s="238"/>
      <c r="H115" s="514"/>
      <c r="I115" s="234" t="s">
        <v>234</v>
      </c>
      <c r="J115" s="235">
        <f t="shared" si="26"/>
        <v>907.99720000000207</v>
      </c>
      <c r="K115" s="235">
        <f t="shared" si="23"/>
        <v>15.133286666666701</v>
      </c>
      <c r="L115" s="235">
        <f t="shared" si="24"/>
        <v>17.803866666666668</v>
      </c>
      <c r="M115" s="236">
        <f t="shared" si="17"/>
        <v>32.93715333333337</v>
      </c>
      <c r="N115" s="238"/>
      <c r="O115" s="514"/>
      <c r="P115" s="234" t="s">
        <v>234</v>
      </c>
      <c r="Q115" s="235">
        <f t="shared" si="15"/>
        <v>5390.0068749999882</v>
      </c>
      <c r="R115" s="235">
        <f t="shared" si="13"/>
        <v>89.833447916666486</v>
      </c>
      <c r="S115" s="235">
        <f t="shared" si="14"/>
        <v>71.866758333333323</v>
      </c>
      <c r="T115" s="236">
        <f t="shared" si="18"/>
        <v>161.70020624999981</v>
      </c>
      <c r="U115" s="238"/>
      <c r="V115" s="514"/>
      <c r="W115" s="234" t="s">
        <v>234</v>
      </c>
      <c r="X115" s="235"/>
      <c r="Y115" s="235"/>
      <c r="Z115" s="235"/>
      <c r="AA115" s="236">
        <f t="shared" si="19"/>
        <v>0</v>
      </c>
      <c r="AB115" s="238"/>
      <c r="AC115" s="514"/>
      <c r="AD115" s="234" t="s">
        <v>234</v>
      </c>
      <c r="AE115" s="235"/>
      <c r="AF115" s="235"/>
      <c r="AG115" s="235"/>
      <c r="AH115" s="236">
        <f t="shared" si="20"/>
        <v>0</v>
      </c>
      <c r="AI115" s="238"/>
      <c r="AK115" s="240"/>
    </row>
    <row r="116" spans="1:37" x14ac:dyDescent="0.2">
      <c r="A116" s="514"/>
      <c r="B116" s="234" t="s">
        <v>235</v>
      </c>
      <c r="C116" s="235">
        <f t="shared" si="25"/>
        <v>10184.122499999979</v>
      </c>
      <c r="D116" s="235">
        <f t="shared" si="21"/>
        <v>169.73537499999966</v>
      </c>
      <c r="E116" s="235">
        <f t="shared" si="22"/>
        <v>203.68244999999996</v>
      </c>
      <c r="F116" s="236">
        <f t="shared" si="16"/>
        <v>373.41782499999965</v>
      </c>
      <c r="G116" s="238"/>
      <c r="H116" s="514"/>
      <c r="I116" s="234" t="s">
        <v>235</v>
      </c>
      <c r="J116" s="235">
        <f t="shared" si="26"/>
        <v>890.19333333333543</v>
      </c>
      <c r="K116" s="235">
        <f t="shared" si="23"/>
        <v>14.836555555555591</v>
      </c>
      <c r="L116" s="235">
        <f t="shared" si="24"/>
        <v>17.803866666666668</v>
      </c>
      <c r="M116" s="236">
        <f t="shared" si="17"/>
        <v>32.640422222222256</v>
      </c>
      <c r="N116" s="238"/>
      <c r="O116" s="514"/>
      <c r="P116" s="234" t="s">
        <v>235</v>
      </c>
      <c r="Q116" s="235">
        <f t="shared" si="15"/>
        <v>5318.1401166666546</v>
      </c>
      <c r="R116" s="235">
        <f t="shared" si="13"/>
        <v>88.635668611110916</v>
      </c>
      <c r="S116" s="235">
        <f t="shared" si="14"/>
        <v>71.866758333333323</v>
      </c>
      <c r="T116" s="236">
        <f t="shared" si="18"/>
        <v>160.50242694444424</v>
      </c>
      <c r="U116" s="238"/>
      <c r="V116" s="514"/>
      <c r="W116" s="234" t="s">
        <v>235</v>
      </c>
      <c r="X116" s="235"/>
      <c r="Y116" s="235"/>
      <c r="Z116" s="235"/>
      <c r="AA116" s="236">
        <f t="shared" si="19"/>
        <v>0</v>
      </c>
      <c r="AB116" s="238"/>
      <c r="AC116" s="514"/>
      <c r="AD116" s="234" t="s">
        <v>235</v>
      </c>
      <c r="AE116" s="235"/>
      <c r="AF116" s="235"/>
      <c r="AG116" s="235"/>
      <c r="AH116" s="236">
        <f t="shared" si="20"/>
        <v>0</v>
      </c>
      <c r="AI116" s="238"/>
      <c r="AK116" s="240"/>
    </row>
    <row r="117" spans="1:37" x14ac:dyDescent="0.2">
      <c r="A117" s="515"/>
      <c r="B117" s="234" t="s">
        <v>236</v>
      </c>
      <c r="C117" s="235">
        <f t="shared" si="25"/>
        <v>9980.4400499999792</v>
      </c>
      <c r="D117" s="235">
        <f t="shared" si="21"/>
        <v>166.34066749999965</v>
      </c>
      <c r="E117" s="235">
        <f t="shared" si="22"/>
        <v>203.68244999999996</v>
      </c>
      <c r="F117" s="236">
        <f t="shared" si="16"/>
        <v>370.02311749999961</v>
      </c>
      <c r="G117" s="239">
        <f>SUM(D106:D117)</f>
        <v>2220.1387049999962</v>
      </c>
      <c r="H117" s="515"/>
      <c r="I117" s="234" t="s">
        <v>236</v>
      </c>
      <c r="J117" s="235">
        <f t="shared" si="26"/>
        <v>872.3894666666688</v>
      </c>
      <c r="K117" s="235">
        <f t="shared" si="23"/>
        <v>14.539824444444482</v>
      </c>
      <c r="L117" s="235">
        <f t="shared" si="24"/>
        <v>17.803866666666668</v>
      </c>
      <c r="M117" s="236">
        <f t="shared" si="17"/>
        <v>32.343691111111148</v>
      </c>
      <c r="N117" s="239">
        <f>SUM(K106:K117)</f>
        <v>194.06214666666705</v>
      </c>
      <c r="O117" s="515"/>
      <c r="P117" s="234" t="s">
        <v>236</v>
      </c>
      <c r="Q117" s="235">
        <f t="shared" si="15"/>
        <v>5246.2733583333211</v>
      </c>
      <c r="R117" s="235">
        <f t="shared" si="13"/>
        <v>87.437889305555359</v>
      </c>
      <c r="S117" s="235">
        <f t="shared" si="14"/>
        <v>71.866758333333323</v>
      </c>
      <c r="T117" s="236">
        <f t="shared" si="18"/>
        <v>159.3046476388887</v>
      </c>
      <c r="U117" s="239">
        <f>SUM(R106:R117)</f>
        <v>1128.3081058333314</v>
      </c>
      <c r="V117" s="515"/>
      <c r="W117" s="234" t="s">
        <v>236</v>
      </c>
      <c r="X117" s="235"/>
      <c r="Y117" s="235"/>
      <c r="Z117" s="235"/>
      <c r="AA117" s="236">
        <f t="shared" si="19"/>
        <v>0</v>
      </c>
      <c r="AB117" s="239">
        <f>SUM(Y106:Y117)</f>
        <v>0</v>
      </c>
      <c r="AC117" s="515"/>
      <c r="AD117" s="234" t="s">
        <v>236</v>
      </c>
      <c r="AE117" s="235"/>
      <c r="AF117" s="235"/>
      <c r="AG117" s="235"/>
      <c r="AH117" s="236">
        <f t="shared" si="20"/>
        <v>0</v>
      </c>
      <c r="AI117" s="239">
        <f>SUM(AF106:AF117)</f>
        <v>0</v>
      </c>
      <c r="AJ117" s="208">
        <f>AJ105+1</f>
        <v>2030</v>
      </c>
      <c r="AK117" s="240">
        <f>G117+N117+U117+AB117+AI117</f>
        <v>3542.5089574999947</v>
      </c>
    </row>
    <row r="118" spans="1:37" x14ac:dyDescent="0.2">
      <c r="A118" s="513">
        <f>A106+1</f>
        <v>2031</v>
      </c>
      <c r="B118" s="234" t="s">
        <v>225</v>
      </c>
      <c r="C118" s="235">
        <f t="shared" si="25"/>
        <v>9776.757599999979</v>
      </c>
      <c r="D118" s="235">
        <f t="shared" si="21"/>
        <v>162.94595999999964</v>
      </c>
      <c r="E118" s="235">
        <f t="shared" si="22"/>
        <v>203.68244999999996</v>
      </c>
      <c r="F118" s="236">
        <f t="shared" si="16"/>
        <v>366.62840999999958</v>
      </c>
      <c r="G118" s="237"/>
      <c r="H118" s="513">
        <f>H106+1</f>
        <v>2031</v>
      </c>
      <c r="I118" s="234" t="s">
        <v>225</v>
      </c>
      <c r="J118" s="235">
        <f t="shared" si="26"/>
        <v>854.58560000000216</v>
      </c>
      <c r="K118" s="235">
        <f t="shared" si="23"/>
        <v>14.24309333333337</v>
      </c>
      <c r="L118" s="235">
        <f t="shared" si="24"/>
        <v>17.803866666666668</v>
      </c>
      <c r="M118" s="236">
        <f t="shared" si="17"/>
        <v>32.046960000000041</v>
      </c>
      <c r="N118" s="237"/>
      <c r="O118" s="513">
        <f>O106+1</f>
        <v>2031</v>
      </c>
      <c r="P118" s="234" t="s">
        <v>225</v>
      </c>
      <c r="Q118" s="235">
        <f t="shared" si="15"/>
        <v>5174.4065999999875</v>
      </c>
      <c r="R118" s="235">
        <f t="shared" si="13"/>
        <v>86.240109999999788</v>
      </c>
      <c r="S118" s="235">
        <f t="shared" si="14"/>
        <v>71.866758333333323</v>
      </c>
      <c r="T118" s="236">
        <f t="shared" si="18"/>
        <v>158.10686833333313</v>
      </c>
      <c r="U118" s="237"/>
      <c r="V118" s="513">
        <f>V106+1</f>
        <v>2030</v>
      </c>
      <c r="W118" s="234" t="s">
        <v>225</v>
      </c>
      <c r="X118" s="235"/>
      <c r="Y118" s="235"/>
      <c r="Z118" s="235"/>
      <c r="AA118" s="236">
        <f t="shared" si="19"/>
        <v>0</v>
      </c>
      <c r="AB118" s="237"/>
      <c r="AC118" s="513">
        <f>AC106+1</f>
        <v>2030</v>
      </c>
      <c r="AD118" s="234" t="s">
        <v>225</v>
      </c>
      <c r="AE118" s="235"/>
      <c r="AF118" s="235"/>
      <c r="AG118" s="235"/>
      <c r="AH118" s="236">
        <f t="shared" si="20"/>
        <v>0</v>
      </c>
      <c r="AI118" s="237"/>
      <c r="AK118" s="240"/>
    </row>
    <row r="119" spans="1:37" x14ac:dyDescent="0.2">
      <c r="A119" s="514"/>
      <c r="B119" s="234" t="s">
        <v>226</v>
      </c>
      <c r="C119" s="235">
        <f t="shared" si="25"/>
        <v>9573.0751499999787</v>
      </c>
      <c r="D119" s="235">
        <f t="shared" si="21"/>
        <v>159.55125249999966</v>
      </c>
      <c r="E119" s="235">
        <f t="shared" si="22"/>
        <v>203.68244999999996</v>
      </c>
      <c r="F119" s="236">
        <f t="shared" si="16"/>
        <v>363.23370249999959</v>
      </c>
      <c r="G119" s="238"/>
      <c r="H119" s="514"/>
      <c r="I119" s="234" t="s">
        <v>226</v>
      </c>
      <c r="J119" s="235">
        <f t="shared" si="26"/>
        <v>836.78173333333552</v>
      </c>
      <c r="K119" s="235">
        <f t="shared" si="23"/>
        <v>13.946362222222261</v>
      </c>
      <c r="L119" s="235">
        <f t="shared" si="24"/>
        <v>17.803866666666668</v>
      </c>
      <c r="M119" s="236">
        <f t="shared" si="17"/>
        <v>31.750228888888927</v>
      </c>
      <c r="N119" s="238"/>
      <c r="O119" s="514"/>
      <c r="P119" s="234" t="s">
        <v>226</v>
      </c>
      <c r="Q119" s="235">
        <f t="shared" si="15"/>
        <v>5102.539841666654</v>
      </c>
      <c r="R119" s="235">
        <f t="shared" si="13"/>
        <v>85.042330694444232</v>
      </c>
      <c r="S119" s="235">
        <f t="shared" si="14"/>
        <v>71.866758333333323</v>
      </c>
      <c r="T119" s="236">
        <f t="shared" si="18"/>
        <v>156.90908902777755</v>
      </c>
      <c r="U119" s="238"/>
      <c r="V119" s="514"/>
      <c r="W119" s="234" t="s">
        <v>226</v>
      </c>
      <c r="X119" s="235"/>
      <c r="Y119" s="235"/>
      <c r="Z119" s="235"/>
      <c r="AA119" s="236">
        <f t="shared" si="19"/>
        <v>0</v>
      </c>
      <c r="AB119" s="238"/>
      <c r="AC119" s="514"/>
      <c r="AD119" s="234" t="s">
        <v>226</v>
      </c>
      <c r="AE119" s="235"/>
      <c r="AF119" s="235"/>
      <c r="AG119" s="235"/>
      <c r="AH119" s="236">
        <f t="shared" si="20"/>
        <v>0</v>
      </c>
      <c r="AI119" s="238"/>
      <c r="AK119" s="240"/>
    </row>
    <row r="120" spans="1:37" x14ac:dyDescent="0.2">
      <c r="A120" s="514"/>
      <c r="B120" s="234" t="s">
        <v>227</v>
      </c>
      <c r="C120" s="235">
        <f t="shared" si="25"/>
        <v>9369.3926999999785</v>
      </c>
      <c r="D120" s="235">
        <f t="shared" si="21"/>
        <v>156.15654499999965</v>
      </c>
      <c r="E120" s="235">
        <f t="shared" si="22"/>
        <v>203.68244999999996</v>
      </c>
      <c r="F120" s="236">
        <f t="shared" si="16"/>
        <v>359.83899499999961</v>
      </c>
      <c r="G120" s="238"/>
      <c r="H120" s="514"/>
      <c r="I120" s="234" t="s">
        <v>227</v>
      </c>
      <c r="J120" s="235">
        <f t="shared" si="26"/>
        <v>818.97786666666889</v>
      </c>
      <c r="K120" s="235">
        <f t="shared" si="23"/>
        <v>13.649631111111148</v>
      </c>
      <c r="L120" s="235">
        <f t="shared" si="24"/>
        <v>17.803866666666668</v>
      </c>
      <c r="M120" s="236">
        <f t="shared" si="17"/>
        <v>31.453497777777816</v>
      </c>
      <c r="N120" s="238"/>
      <c r="O120" s="514"/>
      <c r="P120" s="234" t="s">
        <v>227</v>
      </c>
      <c r="Q120" s="235">
        <f t="shared" si="15"/>
        <v>5030.6730833333204</v>
      </c>
      <c r="R120" s="235">
        <f t="shared" si="13"/>
        <v>83.844551388888675</v>
      </c>
      <c r="S120" s="235">
        <f t="shared" si="14"/>
        <v>71.866758333333323</v>
      </c>
      <c r="T120" s="236">
        <f t="shared" si="18"/>
        <v>155.71130972222198</v>
      </c>
      <c r="U120" s="238"/>
      <c r="V120" s="514"/>
      <c r="W120" s="234" t="s">
        <v>227</v>
      </c>
      <c r="X120" s="235"/>
      <c r="Y120" s="235"/>
      <c r="Z120" s="235"/>
      <c r="AA120" s="236">
        <f t="shared" si="19"/>
        <v>0</v>
      </c>
      <c r="AB120" s="238"/>
      <c r="AC120" s="514"/>
      <c r="AD120" s="234" t="s">
        <v>227</v>
      </c>
      <c r="AE120" s="235"/>
      <c r="AF120" s="235"/>
      <c r="AG120" s="235"/>
      <c r="AH120" s="236">
        <f t="shared" si="20"/>
        <v>0</v>
      </c>
      <c r="AI120" s="238"/>
      <c r="AK120" s="240"/>
    </row>
    <row r="121" spans="1:37" x14ac:dyDescent="0.2">
      <c r="A121" s="514"/>
      <c r="B121" s="234" t="s">
        <v>228</v>
      </c>
      <c r="C121" s="235">
        <f t="shared" si="25"/>
        <v>9165.7102499999783</v>
      </c>
      <c r="D121" s="235">
        <f t="shared" si="21"/>
        <v>152.76183749999964</v>
      </c>
      <c r="E121" s="235">
        <f t="shared" si="22"/>
        <v>203.68244999999996</v>
      </c>
      <c r="F121" s="236">
        <f t="shared" si="16"/>
        <v>356.44428749999963</v>
      </c>
      <c r="G121" s="238"/>
      <c r="H121" s="514"/>
      <c r="I121" s="234" t="s">
        <v>228</v>
      </c>
      <c r="J121" s="235">
        <f t="shared" si="26"/>
        <v>801.17400000000225</v>
      </c>
      <c r="K121" s="235">
        <f t="shared" si="23"/>
        <v>13.352900000000039</v>
      </c>
      <c r="L121" s="235">
        <f t="shared" si="24"/>
        <v>17.803866666666668</v>
      </c>
      <c r="M121" s="236">
        <f t="shared" si="17"/>
        <v>31.156766666666705</v>
      </c>
      <c r="N121" s="238"/>
      <c r="O121" s="514"/>
      <c r="P121" s="234" t="s">
        <v>228</v>
      </c>
      <c r="Q121" s="235">
        <f t="shared" si="15"/>
        <v>4958.8063249999868</v>
      </c>
      <c r="R121" s="235">
        <f t="shared" si="13"/>
        <v>82.646772083333119</v>
      </c>
      <c r="S121" s="235">
        <f t="shared" si="14"/>
        <v>71.866758333333323</v>
      </c>
      <c r="T121" s="236">
        <f t="shared" si="18"/>
        <v>154.51353041666644</v>
      </c>
      <c r="U121" s="238"/>
      <c r="V121" s="514"/>
      <c r="W121" s="234" t="s">
        <v>228</v>
      </c>
      <c r="X121" s="235"/>
      <c r="Y121" s="235"/>
      <c r="Z121" s="235"/>
      <c r="AA121" s="236">
        <f t="shared" si="19"/>
        <v>0</v>
      </c>
      <c r="AB121" s="238"/>
      <c r="AC121" s="514"/>
      <c r="AD121" s="234" t="s">
        <v>228</v>
      </c>
      <c r="AE121" s="235"/>
      <c r="AF121" s="235"/>
      <c r="AG121" s="235"/>
      <c r="AH121" s="236">
        <f t="shared" si="20"/>
        <v>0</v>
      </c>
      <c r="AI121" s="238"/>
      <c r="AK121" s="240"/>
    </row>
    <row r="122" spans="1:37" x14ac:dyDescent="0.2">
      <c r="A122" s="514"/>
      <c r="B122" s="234" t="s">
        <v>229</v>
      </c>
      <c r="C122" s="235">
        <f t="shared" si="25"/>
        <v>8962.027799999978</v>
      </c>
      <c r="D122" s="235">
        <f t="shared" si="21"/>
        <v>149.36712999999963</v>
      </c>
      <c r="E122" s="235">
        <f t="shared" si="22"/>
        <v>203.68244999999996</v>
      </c>
      <c r="F122" s="236">
        <f t="shared" si="16"/>
        <v>353.04957999999959</v>
      </c>
      <c r="G122" s="238"/>
      <c r="H122" s="514"/>
      <c r="I122" s="234" t="s">
        <v>229</v>
      </c>
      <c r="J122" s="235">
        <f t="shared" si="26"/>
        <v>783.37013333333562</v>
      </c>
      <c r="K122" s="235">
        <f t="shared" si="23"/>
        <v>13.056168888888928</v>
      </c>
      <c r="L122" s="235">
        <f t="shared" si="24"/>
        <v>17.803866666666668</v>
      </c>
      <c r="M122" s="236">
        <f t="shared" si="17"/>
        <v>30.860035555555598</v>
      </c>
      <c r="N122" s="238"/>
      <c r="O122" s="514"/>
      <c r="P122" s="234" t="s">
        <v>229</v>
      </c>
      <c r="Q122" s="235">
        <f t="shared" si="15"/>
        <v>4886.9395666666533</v>
      </c>
      <c r="R122" s="235">
        <f t="shared" si="13"/>
        <v>81.448992777777562</v>
      </c>
      <c r="S122" s="235">
        <f t="shared" si="14"/>
        <v>71.866758333333323</v>
      </c>
      <c r="T122" s="236">
        <f t="shared" si="18"/>
        <v>153.3157511111109</v>
      </c>
      <c r="U122" s="238"/>
      <c r="V122" s="514"/>
      <c r="W122" s="234" t="s">
        <v>229</v>
      </c>
      <c r="X122" s="235"/>
      <c r="Y122" s="235"/>
      <c r="Z122" s="235"/>
      <c r="AA122" s="236">
        <f t="shared" si="19"/>
        <v>0</v>
      </c>
      <c r="AB122" s="238"/>
      <c r="AC122" s="514"/>
      <c r="AD122" s="234" t="s">
        <v>229</v>
      </c>
      <c r="AE122" s="235"/>
      <c r="AF122" s="235"/>
      <c r="AG122" s="235"/>
      <c r="AH122" s="236">
        <f t="shared" si="20"/>
        <v>0</v>
      </c>
      <c r="AI122" s="238"/>
      <c r="AK122" s="240"/>
    </row>
    <row r="123" spans="1:37" x14ac:dyDescent="0.2">
      <c r="A123" s="514"/>
      <c r="B123" s="234" t="s">
        <v>230</v>
      </c>
      <c r="C123" s="235">
        <f t="shared" si="25"/>
        <v>8758.3453499999778</v>
      </c>
      <c r="D123" s="235">
        <f t="shared" si="21"/>
        <v>145.97242249999962</v>
      </c>
      <c r="E123" s="235">
        <f t="shared" si="22"/>
        <v>203.68244999999996</v>
      </c>
      <c r="F123" s="236">
        <f t="shared" si="16"/>
        <v>349.65487249999956</v>
      </c>
      <c r="G123" s="238"/>
      <c r="H123" s="514"/>
      <c r="I123" s="234" t="s">
        <v>230</v>
      </c>
      <c r="J123" s="235">
        <f t="shared" si="26"/>
        <v>765.56626666666898</v>
      </c>
      <c r="K123" s="235">
        <f t="shared" si="23"/>
        <v>12.759437777777817</v>
      </c>
      <c r="L123" s="235">
        <f t="shared" si="24"/>
        <v>17.803866666666668</v>
      </c>
      <c r="M123" s="236">
        <f t="shared" si="17"/>
        <v>30.563304444444483</v>
      </c>
      <c r="N123" s="238"/>
      <c r="O123" s="514"/>
      <c r="P123" s="234" t="s">
        <v>230</v>
      </c>
      <c r="Q123" s="235">
        <f t="shared" si="15"/>
        <v>4815.0728083333197</v>
      </c>
      <c r="R123" s="235">
        <f t="shared" si="13"/>
        <v>80.251213472222005</v>
      </c>
      <c r="S123" s="235">
        <f t="shared" si="14"/>
        <v>71.866758333333323</v>
      </c>
      <c r="T123" s="236">
        <f t="shared" si="18"/>
        <v>152.11797180555533</v>
      </c>
      <c r="U123" s="238"/>
      <c r="V123" s="514"/>
      <c r="W123" s="234" t="s">
        <v>230</v>
      </c>
      <c r="X123" s="235"/>
      <c r="Y123" s="235"/>
      <c r="Z123" s="235"/>
      <c r="AA123" s="236">
        <f t="shared" si="19"/>
        <v>0</v>
      </c>
      <c r="AB123" s="238"/>
      <c r="AC123" s="514"/>
      <c r="AD123" s="234" t="s">
        <v>230</v>
      </c>
      <c r="AE123" s="235"/>
      <c r="AF123" s="235"/>
      <c r="AG123" s="235"/>
      <c r="AH123" s="236">
        <f t="shared" si="20"/>
        <v>0</v>
      </c>
      <c r="AI123" s="238"/>
      <c r="AK123" s="240"/>
    </row>
    <row r="124" spans="1:37" x14ac:dyDescent="0.2">
      <c r="A124" s="514"/>
      <c r="B124" s="234" t="s">
        <v>231</v>
      </c>
      <c r="C124" s="235">
        <f t="shared" si="25"/>
        <v>8554.6628999999775</v>
      </c>
      <c r="D124" s="235">
        <f t="shared" si="21"/>
        <v>142.57771499999964</v>
      </c>
      <c r="E124" s="235">
        <f t="shared" si="22"/>
        <v>203.68244999999996</v>
      </c>
      <c r="F124" s="236">
        <f t="shared" si="16"/>
        <v>346.26016499999957</v>
      </c>
      <c r="G124" s="238"/>
      <c r="H124" s="514"/>
      <c r="I124" s="234" t="s">
        <v>231</v>
      </c>
      <c r="J124" s="235">
        <f t="shared" si="26"/>
        <v>747.76240000000234</v>
      </c>
      <c r="K124" s="235">
        <f t="shared" si="23"/>
        <v>12.462706666666707</v>
      </c>
      <c r="L124" s="235">
        <f t="shared" si="24"/>
        <v>17.803866666666668</v>
      </c>
      <c r="M124" s="236">
        <f t="shared" si="17"/>
        <v>30.266573333333376</v>
      </c>
      <c r="N124" s="238"/>
      <c r="O124" s="514"/>
      <c r="P124" s="234" t="s">
        <v>231</v>
      </c>
      <c r="Q124" s="235">
        <f t="shared" si="15"/>
        <v>4743.2060499999861</v>
      </c>
      <c r="R124" s="235">
        <f t="shared" si="13"/>
        <v>79.053434166666435</v>
      </c>
      <c r="S124" s="235">
        <f t="shared" si="14"/>
        <v>71.866758333333323</v>
      </c>
      <c r="T124" s="236">
        <f t="shared" si="18"/>
        <v>150.92019249999976</v>
      </c>
      <c r="U124" s="238"/>
      <c r="V124" s="514"/>
      <c r="W124" s="234" t="s">
        <v>231</v>
      </c>
      <c r="X124" s="235"/>
      <c r="Y124" s="235"/>
      <c r="Z124" s="235"/>
      <c r="AA124" s="236">
        <f t="shared" si="19"/>
        <v>0</v>
      </c>
      <c r="AB124" s="238"/>
      <c r="AC124" s="514"/>
      <c r="AD124" s="234" t="s">
        <v>231</v>
      </c>
      <c r="AE124" s="235"/>
      <c r="AF124" s="235"/>
      <c r="AG124" s="235"/>
      <c r="AH124" s="236">
        <f t="shared" si="20"/>
        <v>0</v>
      </c>
      <c r="AI124" s="238"/>
      <c r="AK124" s="240"/>
    </row>
    <row r="125" spans="1:37" x14ac:dyDescent="0.2">
      <c r="A125" s="514"/>
      <c r="B125" s="234" t="s">
        <v>232</v>
      </c>
      <c r="C125" s="235">
        <f t="shared" si="25"/>
        <v>8350.9804499999773</v>
      </c>
      <c r="D125" s="235">
        <f t="shared" si="21"/>
        <v>139.18300749999963</v>
      </c>
      <c r="E125" s="235">
        <f t="shared" si="22"/>
        <v>203.68244999999996</v>
      </c>
      <c r="F125" s="236">
        <f t="shared" si="16"/>
        <v>342.86545749999959</v>
      </c>
      <c r="G125" s="238"/>
      <c r="H125" s="514"/>
      <c r="I125" s="234" t="s">
        <v>232</v>
      </c>
      <c r="J125" s="235">
        <f t="shared" si="26"/>
        <v>729.95853333333571</v>
      </c>
      <c r="K125" s="235">
        <f t="shared" si="23"/>
        <v>12.165975555555596</v>
      </c>
      <c r="L125" s="235">
        <f t="shared" si="24"/>
        <v>17.803866666666668</v>
      </c>
      <c r="M125" s="236">
        <f t="shared" si="17"/>
        <v>29.969842222222262</v>
      </c>
      <c r="N125" s="238"/>
      <c r="O125" s="514"/>
      <c r="P125" s="234" t="s">
        <v>232</v>
      </c>
      <c r="Q125" s="235">
        <f t="shared" si="15"/>
        <v>4671.3392916666526</v>
      </c>
      <c r="R125" s="235">
        <f t="shared" si="13"/>
        <v>77.855654861110878</v>
      </c>
      <c r="S125" s="235">
        <f t="shared" si="14"/>
        <v>71.866758333333323</v>
      </c>
      <c r="T125" s="236">
        <f t="shared" si="18"/>
        <v>149.72241319444419</v>
      </c>
      <c r="U125" s="238"/>
      <c r="V125" s="514"/>
      <c r="W125" s="234" t="s">
        <v>232</v>
      </c>
      <c r="X125" s="235"/>
      <c r="Y125" s="235"/>
      <c r="Z125" s="235"/>
      <c r="AA125" s="236">
        <f t="shared" si="19"/>
        <v>0</v>
      </c>
      <c r="AB125" s="238"/>
      <c r="AC125" s="514"/>
      <c r="AD125" s="234" t="s">
        <v>232</v>
      </c>
      <c r="AE125" s="235"/>
      <c r="AF125" s="235"/>
      <c r="AG125" s="235"/>
      <c r="AH125" s="236">
        <f t="shared" si="20"/>
        <v>0</v>
      </c>
      <c r="AI125" s="238"/>
      <c r="AK125" s="240"/>
    </row>
    <row r="126" spans="1:37" x14ac:dyDescent="0.2">
      <c r="A126" s="514"/>
      <c r="B126" s="234" t="s">
        <v>233</v>
      </c>
      <c r="C126" s="235">
        <f t="shared" si="25"/>
        <v>8147.297999999977</v>
      </c>
      <c r="D126" s="235">
        <f t="shared" si="21"/>
        <v>135.78829999999962</v>
      </c>
      <c r="E126" s="235">
        <f t="shared" si="22"/>
        <v>203.68244999999996</v>
      </c>
      <c r="F126" s="236">
        <f t="shared" si="16"/>
        <v>339.47074999999961</v>
      </c>
      <c r="G126" s="238"/>
      <c r="H126" s="514"/>
      <c r="I126" s="234" t="s">
        <v>233</v>
      </c>
      <c r="J126" s="235">
        <f t="shared" si="26"/>
        <v>712.15466666666907</v>
      </c>
      <c r="K126" s="235">
        <f t="shared" si="23"/>
        <v>11.869244444444485</v>
      </c>
      <c r="L126" s="235">
        <f t="shared" si="24"/>
        <v>17.803866666666668</v>
      </c>
      <c r="M126" s="236">
        <f t="shared" si="17"/>
        <v>29.673111111111155</v>
      </c>
      <c r="N126" s="238"/>
      <c r="O126" s="514"/>
      <c r="P126" s="234" t="s">
        <v>233</v>
      </c>
      <c r="Q126" s="235">
        <f t="shared" si="15"/>
        <v>4599.472533333319</v>
      </c>
      <c r="R126" s="235">
        <f t="shared" si="13"/>
        <v>76.657875555555322</v>
      </c>
      <c r="S126" s="235">
        <f t="shared" si="14"/>
        <v>71.866758333333323</v>
      </c>
      <c r="T126" s="236">
        <f t="shared" si="18"/>
        <v>148.52463388888864</v>
      </c>
      <c r="U126" s="238"/>
      <c r="V126" s="514"/>
      <c r="W126" s="234" t="s">
        <v>233</v>
      </c>
      <c r="X126" s="235"/>
      <c r="Y126" s="235"/>
      <c r="Z126" s="235"/>
      <c r="AA126" s="236">
        <f t="shared" si="19"/>
        <v>0</v>
      </c>
      <c r="AB126" s="238"/>
      <c r="AC126" s="514"/>
      <c r="AD126" s="234" t="s">
        <v>233</v>
      </c>
      <c r="AE126" s="235"/>
      <c r="AF126" s="235"/>
      <c r="AG126" s="235"/>
      <c r="AH126" s="236">
        <f t="shared" si="20"/>
        <v>0</v>
      </c>
      <c r="AI126" s="238"/>
      <c r="AK126" s="240"/>
    </row>
    <row r="127" spans="1:37" x14ac:dyDescent="0.2">
      <c r="A127" s="514"/>
      <c r="B127" s="234" t="s">
        <v>234</v>
      </c>
      <c r="C127" s="235">
        <f t="shared" si="25"/>
        <v>7943.6155499999768</v>
      </c>
      <c r="D127" s="235">
        <f t="shared" si="21"/>
        <v>132.39359249999961</v>
      </c>
      <c r="E127" s="235">
        <f t="shared" si="22"/>
        <v>203.68244999999996</v>
      </c>
      <c r="F127" s="236">
        <f t="shared" si="16"/>
        <v>336.07604249999957</v>
      </c>
      <c r="G127" s="238"/>
      <c r="H127" s="514"/>
      <c r="I127" s="234" t="s">
        <v>234</v>
      </c>
      <c r="J127" s="235">
        <f t="shared" si="26"/>
        <v>694.35080000000244</v>
      </c>
      <c r="K127" s="235">
        <f t="shared" si="23"/>
        <v>11.572513333333374</v>
      </c>
      <c r="L127" s="235">
        <f t="shared" si="24"/>
        <v>17.803866666666668</v>
      </c>
      <c r="M127" s="236">
        <f t="shared" si="17"/>
        <v>29.37638000000004</v>
      </c>
      <c r="N127" s="238"/>
      <c r="O127" s="514"/>
      <c r="P127" s="234" t="s">
        <v>234</v>
      </c>
      <c r="Q127" s="235">
        <f t="shared" si="15"/>
        <v>4527.6057749999854</v>
      </c>
      <c r="R127" s="235">
        <f t="shared" si="13"/>
        <v>75.460096249999765</v>
      </c>
      <c r="S127" s="235">
        <f t="shared" si="14"/>
        <v>71.866758333333323</v>
      </c>
      <c r="T127" s="236">
        <f t="shared" si="18"/>
        <v>147.3268545833331</v>
      </c>
      <c r="U127" s="238"/>
      <c r="V127" s="514"/>
      <c r="W127" s="234" t="s">
        <v>234</v>
      </c>
      <c r="X127" s="235"/>
      <c r="Y127" s="235"/>
      <c r="Z127" s="235"/>
      <c r="AA127" s="236">
        <f t="shared" si="19"/>
        <v>0</v>
      </c>
      <c r="AB127" s="238"/>
      <c r="AC127" s="514"/>
      <c r="AD127" s="234" t="s">
        <v>234</v>
      </c>
      <c r="AE127" s="235"/>
      <c r="AF127" s="235"/>
      <c r="AG127" s="235"/>
      <c r="AH127" s="236">
        <f t="shared" si="20"/>
        <v>0</v>
      </c>
      <c r="AI127" s="238"/>
      <c r="AK127" s="240"/>
    </row>
    <row r="128" spans="1:37" x14ac:dyDescent="0.2">
      <c r="A128" s="514"/>
      <c r="B128" s="234" t="s">
        <v>235</v>
      </c>
      <c r="C128" s="235">
        <f t="shared" si="25"/>
        <v>7739.9330999999765</v>
      </c>
      <c r="D128" s="235">
        <f t="shared" si="21"/>
        <v>128.9988849999996</v>
      </c>
      <c r="E128" s="235">
        <f t="shared" si="22"/>
        <v>203.68244999999996</v>
      </c>
      <c r="F128" s="236">
        <f t="shared" si="16"/>
        <v>332.68133499999954</v>
      </c>
      <c r="G128" s="238"/>
      <c r="H128" s="514"/>
      <c r="I128" s="234" t="s">
        <v>235</v>
      </c>
      <c r="J128" s="235">
        <f t="shared" si="26"/>
        <v>676.5469333333358</v>
      </c>
      <c r="K128" s="235">
        <f t="shared" si="23"/>
        <v>11.275782222222263</v>
      </c>
      <c r="L128" s="235">
        <f t="shared" si="24"/>
        <v>17.803866666666668</v>
      </c>
      <c r="M128" s="236">
        <f t="shared" si="17"/>
        <v>29.079648888888933</v>
      </c>
      <c r="N128" s="238"/>
      <c r="O128" s="514"/>
      <c r="P128" s="234" t="s">
        <v>235</v>
      </c>
      <c r="Q128" s="235">
        <f t="shared" si="15"/>
        <v>4455.7390166666519</v>
      </c>
      <c r="R128" s="235">
        <f t="shared" si="13"/>
        <v>74.262316944444208</v>
      </c>
      <c r="S128" s="235">
        <f t="shared" si="14"/>
        <v>71.866758333333323</v>
      </c>
      <c r="T128" s="236">
        <f t="shared" si="18"/>
        <v>146.12907527777753</v>
      </c>
      <c r="U128" s="238"/>
      <c r="V128" s="514"/>
      <c r="W128" s="234" t="s">
        <v>235</v>
      </c>
      <c r="X128" s="235"/>
      <c r="Y128" s="235"/>
      <c r="Z128" s="235"/>
      <c r="AA128" s="236">
        <f t="shared" si="19"/>
        <v>0</v>
      </c>
      <c r="AB128" s="238"/>
      <c r="AC128" s="514"/>
      <c r="AD128" s="234" t="s">
        <v>235</v>
      </c>
      <c r="AE128" s="235"/>
      <c r="AF128" s="235"/>
      <c r="AG128" s="235"/>
      <c r="AH128" s="236">
        <f t="shared" si="20"/>
        <v>0</v>
      </c>
      <c r="AI128" s="238"/>
      <c r="AK128" s="240"/>
    </row>
    <row r="129" spans="1:37" x14ac:dyDescent="0.2">
      <c r="A129" s="515"/>
      <c r="B129" s="234" t="s">
        <v>236</v>
      </c>
      <c r="C129" s="235">
        <f t="shared" si="25"/>
        <v>7536.2506499999763</v>
      </c>
      <c r="D129" s="235">
        <f t="shared" si="21"/>
        <v>125.60417749999961</v>
      </c>
      <c r="E129" s="235">
        <f t="shared" si="22"/>
        <v>203.68244999999996</v>
      </c>
      <c r="F129" s="236">
        <f t="shared" si="16"/>
        <v>329.28662749999955</v>
      </c>
      <c r="G129" s="239">
        <f>SUM(D118:D129)</f>
        <v>1731.3008249999955</v>
      </c>
      <c r="H129" s="515"/>
      <c r="I129" s="234" t="s">
        <v>236</v>
      </c>
      <c r="J129" s="235">
        <f t="shared" si="26"/>
        <v>658.74306666666916</v>
      </c>
      <c r="K129" s="235">
        <f t="shared" si="23"/>
        <v>10.979051111111154</v>
      </c>
      <c r="L129" s="235">
        <f t="shared" si="24"/>
        <v>17.803866666666668</v>
      </c>
      <c r="M129" s="236">
        <f t="shared" si="17"/>
        <v>28.782917777777822</v>
      </c>
      <c r="N129" s="238">
        <f>SUM(K118:K129)</f>
        <v>151.33286666666714</v>
      </c>
      <c r="O129" s="515"/>
      <c r="P129" s="234" t="s">
        <v>236</v>
      </c>
      <c r="Q129" s="235">
        <f t="shared" si="15"/>
        <v>4383.8722583333183</v>
      </c>
      <c r="R129" s="235">
        <f t="shared" si="13"/>
        <v>73.064537638888638</v>
      </c>
      <c r="S129" s="235">
        <f t="shared" si="14"/>
        <v>71.866758333333323</v>
      </c>
      <c r="T129" s="236">
        <f t="shared" si="18"/>
        <v>144.93129597222196</v>
      </c>
      <c r="U129" s="238">
        <f>SUM(R118:R129)</f>
        <v>955.82788583333058</v>
      </c>
      <c r="V129" s="515"/>
      <c r="W129" s="234" t="s">
        <v>236</v>
      </c>
      <c r="X129" s="235"/>
      <c r="Y129" s="235"/>
      <c r="Z129" s="235"/>
      <c r="AA129" s="236">
        <f t="shared" si="19"/>
        <v>0</v>
      </c>
      <c r="AB129" s="238">
        <f>SUM(Y118:Y129)</f>
        <v>0</v>
      </c>
      <c r="AC129" s="515"/>
      <c r="AD129" s="234" t="s">
        <v>236</v>
      </c>
      <c r="AE129" s="235"/>
      <c r="AF129" s="235"/>
      <c r="AG129" s="235"/>
      <c r="AH129" s="236">
        <f t="shared" si="20"/>
        <v>0</v>
      </c>
      <c r="AI129" s="238">
        <f>SUM(AF118:AF129)</f>
        <v>0</v>
      </c>
      <c r="AJ129" s="208">
        <f>AJ117+1</f>
        <v>2031</v>
      </c>
      <c r="AK129" s="240">
        <f>G129+N129+U129+AB129+AI129</f>
        <v>2838.4615774999929</v>
      </c>
    </row>
    <row r="130" spans="1:37" x14ac:dyDescent="0.2">
      <c r="A130" s="513">
        <f>A118+1</f>
        <v>2032</v>
      </c>
      <c r="B130" s="234" t="s">
        <v>225</v>
      </c>
      <c r="C130" s="235">
        <f t="shared" si="25"/>
        <v>7332.5681999999761</v>
      </c>
      <c r="D130" s="235">
        <f t="shared" si="21"/>
        <v>122.20946999999961</v>
      </c>
      <c r="E130" s="235">
        <f t="shared" si="22"/>
        <v>203.68244999999996</v>
      </c>
      <c r="F130" s="236">
        <f>D130+E130</f>
        <v>325.89191999999957</v>
      </c>
      <c r="G130" s="239"/>
      <c r="H130" s="512">
        <f>H118+1</f>
        <v>2032</v>
      </c>
      <c r="I130" s="234" t="s">
        <v>225</v>
      </c>
      <c r="J130" s="235">
        <f t="shared" si="26"/>
        <v>640.93920000000253</v>
      </c>
      <c r="K130" s="235">
        <f t="shared" si="23"/>
        <v>10.682320000000042</v>
      </c>
      <c r="L130" s="235">
        <f t="shared" si="24"/>
        <v>17.803866666666668</v>
      </c>
      <c r="M130" s="236">
        <f t="shared" si="17"/>
        <v>28.486186666666711</v>
      </c>
      <c r="N130" s="237"/>
      <c r="O130" s="519">
        <f>O118+1</f>
        <v>2032</v>
      </c>
      <c r="P130" s="234" t="s">
        <v>225</v>
      </c>
      <c r="Q130" s="235">
        <f t="shared" si="15"/>
        <v>4312.0054999999847</v>
      </c>
      <c r="R130" s="235">
        <f t="shared" si="13"/>
        <v>71.866758333333081</v>
      </c>
      <c r="S130" s="235">
        <f t="shared" si="14"/>
        <v>71.866758333333323</v>
      </c>
      <c r="T130" s="247">
        <f t="shared" si="18"/>
        <v>143.73351666666639</v>
      </c>
      <c r="U130" s="237"/>
      <c r="V130" s="519">
        <f>V118+1</f>
        <v>2031</v>
      </c>
      <c r="W130" s="234" t="s">
        <v>225</v>
      </c>
      <c r="X130" s="235"/>
      <c r="Y130" s="235"/>
      <c r="Z130" s="235"/>
      <c r="AA130" s="247">
        <f t="shared" si="19"/>
        <v>0</v>
      </c>
      <c r="AB130" s="237"/>
      <c r="AC130" s="519">
        <f>AC118+1</f>
        <v>2031</v>
      </c>
      <c r="AD130" s="234" t="s">
        <v>225</v>
      </c>
      <c r="AE130" s="235"/>
      <c r="AF130" s="235"/>
      <c r="AG130" s="235"/>
      <c r="AH130" s="247">
        <f t="shared" si="20"/>
        <v>0</v>
      </c>
      <c r="AI130" s="237"/>
      <c r="AK130" s="240"/>
    </row>
    <row r="131" spans="1:37" x14ac:dyDescent="0.2">
      <c r="A131" s="514"/>
      <c r="B131" s="234" t="s">
        <v>226</v>
      </c>
      <c r="C131" s="235">
        <f t="shared" si="25"/>
        <v>7128.8857499999758</v>
      </c>
      <c r="D131" s="235">
        <f t="shared" si="21"/>
        <v>118.81476249999962</v>
      </c>
      <c r="E131" s="235">
        <f t="shared" si="22"/>
        <v>203.68244999999996</v>
      </c>
      <c r="F131" s="236">
        <f>D131+E131</f>
        <v>322.49721249999959</v>
      </c>
      <c r="G131" s="239"/>
      <c r="H131" s="512"/>
      <c r="I131" s="234" t="s">
        <v>226</v>
      </c>
      <c r="J131" s="235">
        <f t="shared" si="26"/>
        <v>623.13533333333589</v>
      </c>
      <c r="K131" s="235">
        <f t="shared" si="23"/>
        <v>10.385588888888933</v>
      </c>
      <c r="L131" s="235">
        <f t="shared" si="24"/>
        <v>17.803866666666668</v>
      </c>
      <c r="M131" s="247">
        <f t="shared" si="17"/>
        <v>28.1894555555556</v>
      </c>
      <c r="N131" s="238"/>
      <c r="O131" s="520"/>
      <c r="P131" s="234" t="s">
        <v>226</v>
      </c>
      <c r="Q131" s="235">
        <f t="shared" si="15"/>
        <v>4240.1387416666512</v>
      </c>
      <c r="R131" s="235">
        <f t="shared" si="13"/>
        <v>70.668979027777524</v>
      </c>
      <c r="S131" s="235">
        <f t="shared" si="14"/>
        <v>71.866758333333323</v>
      </c>
      <c r="T131" s="247">
        <f t="shared" si="18"/>
        <v>142.53573736111085</v>
      </c>
      <c r="U131" s="238"/>
      <c r="V131" s="520"/>
      <c r="W131" s="234" t="s">
        <v>226</v>
      </c>
      <c r="X131" s="235"/>
      <c r="Y131" s="235"/>
      <c r="Z131" s="235"/>
      <c r="AA131" s="247">
        <f t="shared" si="19"/>
        <v>0</v>
      </c>
      <c r="AB131" s="238"/>
      <c r="AC131" s="520"/>
      <c r="AD131" s="234" t="s">
        <v>226</v>
      </c>
      <c r="AE131" s="235"/>
      <c r="AF131" s="235"/>
      <c r="AG131" s="235"/>
      <c r="AH131" s="247">
        <f t="shared" si="20"/>
        <v>0</v>
      </c>
      <c r="AI131" s="238"/>
      <c r="AK131" s="240"/>
    </row>
    <row r="132" spans="1:37" x14ac:dyDescent="0.2">
      <c r="A132" s="514"/>
      <c r="B132" s="234" t="s">
        <v>227</v>
      </c>
      <c r="C132" s="235">
        <f t="shared" si="25"/>
        <v>6925.2032999999756</v>
      </c>
      <c r="D132" s="235">
        <f t="shared" si="21"/>
        <v>115.42005499999959</v>
      </c>
      <c r="E132" s="235">
        <f t="shared" si="22"/>
        <v>203.68244999999996</v>
      </c>
      <c r="F132" s="236">
        <f>D132+E132</f>
        <v>319.10250499999955</v>
      </c>
      <c r="G132" s="239"/>
      <c r="H132" s="512"/>
      <c r="I132" s="234" t="s">
        <v>227</v>
      </c>
      <c r="J132" s="235">
        <f t="shared" si="26"/>
        <v>605.33146666666926</v>
      </c>
      <c r="K132" s="235">
        <f t="shared" si="23"/>
        <v>10.088857777777822</v>
      </c>
      <c r="L132" s="235">
        <f t="shared" si="24"/>
        <v>17.803866666666668</v>
      </c>
      <c r="M132" s="247">
        <f t="shared" si="17"/>
        <v>27.89272444444449</v>
      </c>
      <c r="N132" s="238"/>
      <c r="O132" s="520"/>
      <c r="P132" s="234" t="s">
        <v>227</v>
      </c>
      <c r="Q132" s="235">
        <f t="shared" si="15"/>
        <v>4168.2719833333176</v>
      </c>
      <c r="R132" s="235">
        <f t="shared" si="13"/>
        <v>69.471199722221968</v>
      </c>
      <c r="S132" s="235">
        <f t="shared" si="14"/>
        <v>71.866758333333323</v>
      </c>
      <c r="T132" s="247">
        <f t="shared" si="18"/>
        <v>141.3379580555553</v>
      </c>
      <c r="U132" s="238"/>
      <c r="V132" s="520"/>
      <c r="W132" s="234" t="s">
        <v>227</v>
      </c>
      <c r="X132" s="235"/>
      <c r="Y132" s="235"/>
      <c r="Z132" s="235"/>
      <c r="AA132" s="247">
        <f t="shared" si="19"/>
        <v>0</v>
      </c>
      <c r="AB132" s="238"/>
      <c r="AC132" s="520"/>
      <c r="AD132" s="234" t="s">
        <v>227</v>
      </c>
      <c r="AE132" s="235"/>
      <c r="AF132" s="235"/>
      <c r="AG132" s="235"/>
      <c r="AH132" s="247">
        <f t="shared" si="20"/>
        <v>0</v>
      </c>
      <c r="AI132" s="238"/>
      <c r="AK132" s="240"/>
    </row>
    <row r="133" spans="1:37" x14ac:dyDescent="0.2">
      <c r="A133" s="514"/>
      <c r="B133" s="234" t="s">
        <v>228</v>
      </c>
      <c r="C133" s="235">
        <f t="shared" si="25"/>
        <v>6721.5208499999753</v>
      </c>
      <c r="D133" s="235">
        <f t="shared" si="21"/>
        <v>112.0253474999996</v>
      </c>
      <c r="E133" s="235">
        <f t="shared" si="22"/>
        <v>203.68244999999996</v>
      </c>
      <c r="F133" s="236">
        <f>D133+E133</f>
        <v>315.70779749999957</v>
      </c>
      <c r="G133" s="239"/>
      <c r="H133" s="512"/>
      <c r="I133" s="234" t="s">
        <v>228</v>
      </c>
      <c r="J133" s="235">
        <f t="shared" si="26"/>
        <v>587.52760000000262</v>
      </c>
      <c r="K133" s="235">
        <f t="shared" si="23"/>
        <v>9.7921266666667108</v>
      </c>
      <c r="L133" s="235">
        <f t="shared" si="24"/>
        <v>17.803866666666668</v>
      </c>
      <c r="M133" s="247">
        <f t="shared" si="17"/>
        <v>27.595993333333379</v>
      </c>
      <c r="N133" s="238"/>
      <c r="O133" s="520"/>
      <c r="P133" s="234" t="s">
        <v>228</v>
      </c>
      <c r="Q133" s="235">
        <f t="shared" si="15"/>
        <v>4096.4052249999841</v>
      </c>
      <c r="R133" s="235">
        <f t="shared" si="13"/>
        <v>68.273420416666411</v>
      </c>
      <c r="S133" s="235">
        <f t="shared" si="14"/>
        <v>71.866758333333323</v>
      </c>
      <c r="T133" s="247">
        <f t="shared" si="18"/>
        <v>140.14017874999973</v>
      </c>
      <c r="U133" s="238"/>
      <c r="V133" s="520"/>
      <c r="W133" s="234" t="s">
        <v>228</v>
      </c>
      <c r="X133" s="235"/>
      <c r="Y133" s="235"/>
      <c r="Z133" s="235"/>
      <c r="AA133" s="247">
        <f t="shared" si="19"/>
        <v>0</v>
      </c>
      <c r="AB133" s="238"/>
      <c r="AC133" s="520"/>
      <c r="AD133" s="234" t="s">
        <v>228</v>
      </c>
      <c r="AE133" s="235"/>
      <c r="AF133" s="235"/>
      <c r="AG133" s="235"/>
      <c r="AH133" s="247">
        <f t="shared" si="20"/>
        <v>0</v>
      </c>
      <c r="AI133" s="238"/>
      <c r="AK133" s="240"/>
    </row>
    <row r="134" spans="1:37" x14ac:dyDescent="0.2">
      <c r="A134" s="514"/>
      <c r="B134" s="234" t="s">
        <v>229</v>
      </c>
      <c r="C134" s="235">
        <f t="shared" si="25"/>
        <v>6517.8383999999751</v>
      </c>
      <c r="D134" s="235">
        <f t="shared" si="21"/>
        <v>108.63063999999959</v>
      </c>
      <c r="E134" s="235">
        <f t="shared" si="22"/>
        <v>203.68244999999996</v>
      </c>
      <c r="F134" s="236">
        <f>D134+E134</f>
        <v>312.31308999999953</v>
      </c>
      <c r="G134" s="239"/>
      <c r="H134" s="512"/>
      <c r="I134" s="234" t="s">
        <v>229</v>
      </c>
      <c r="J134" s="235">
        <f t="shared" si="26"/>
        <v>569.72373333333599</v>
      </c>
      <c r="K134" s="235">
        <f t="shared" si="23"/>
        <v>9.4953955555556</v>
      </c>
      <c r="L134" s="235">
        <f t="shared" si="24"/>
        <v>17.803866666666668</v>
      </c>
      <c r="M134" s="247">
        <f t="shared" si="17"/>
        <v>27.299262222222268</v>
      </c>
      <c r="N134" s="238"/>
      <c r="O134" s="520"/>
      <c r="P134" s="234" t="s">
        <v>229</v>
      </c>
      <c r="Q134" s="235">
        <f t="shared" si="15"/>
        <v>4024.5384666666509</v>
      </c>
      <c r="R134" s="235">
        <f t="shared" ref="R134:R189" si="27">Q134*$D$7/12</f>
        <v>67.075641111110855</v>
      </c>
      <c r="S134" s="235">
        <f t="shared" ref="S134:S189" si="28">$Q$7/R$8</f>
        <v>71.866758333333323</v>
      </c>
      <c r="T134" s="247">
        <f t="shared" si="18"/>
        <v>138.94239944444416</v>
      </c>
      <c r="U134" s="238"/>
      <c r="V134" s="520"/>
      <c r="W134" s="234" t="s">
        <v>229</v>
      </c>
      <c r="X134" s="235"/>
      <c r="Y134" s="235"/>
      <c r="Z134" s="235"/>
      <c r="AA134" s="247">
        <f t="shared" si="19"/>
        <v>0</v>
      </c>
      <c r="AB134" s="238"/>
      <c r="AC134" s="520"/>
      <c r="AD134" s="234" t="s">
        <v>229</v>
      </c>
      <c r="AE134" s="235"/>
      <c r="AF134" s="235"/>
      <c r="AG134" s="235"/>
      <c r="AH134" s="247">
        <f t="shared" si="20"/>
        <v>0</v>
      </c>
      <c r="AI134" s="238"/>
      <c r="AK134" s="240"/>
    </row>
    <row r="135" spans="1:37" x14ac:dyDescent="0.2">
      <c r="A135" s="514"/>
      <c r="B135" s="234" t="s">
        <v>230</v>
      </c>
      <c r="C135" s="235">
        <f t="shared" si="25"/>
        <v>6314.1559499999748</v>
      </c>
      <c r="D135" s="235">
        <f t="shared" si="21"/>
        <v>105.23593249999959</v>
      </c>
      <c r="E135" s="235">
        <f t="shared" si="22"/>
        <v>203.68244999999996</v>
      </c>
      <c r="F135" s="236">
        <f t="shared" ref="F135:F140" si="29">D135+E135</f>
        <v>308.91838249999955</v>
      </c>
      <c r="G135" s="239"/>
      <c r="H135" s="512"/>
      <c r="I135" s="234" t="s">
        <v>230</v>
      </c>
      <c r="J135" s="235">
        <f t="shared" si="26"/>
        <v>551.91986666666935</v>
      </c>
      <c r="K135" s="235">
        <f t="shared" si="23"/>
        <v>9.1986644444444892</v>
      </c>
      <c r="L135" s="235">
        <f t="shared" si="24"/>
        <v>17.803866666666668</v>
      </c>
      <c r="M135" s="247">
        <f t="shared" si="17"/>
        <v>27.002531111111157</v>
      </c>
      <c r="N135" s="238"/>
      <c r="O135" s="520"/>
      <c r="P135" s="234" t="s">
        <v>230</v>
      </c>
      <c r="Q135" s="235">
        <f t="shared" ref="Q135:Q189" si="30">Q134-S134</f>
        <v>3952.6717083333178</v>
      </c>
      <c r="R135" s="235">
        <f t="shared" si="27"/>
        <v>65.877861805555298</v>
      </c>
      <c r="S135" s="235">
        <f t="shared" si="28"/>
        <v>71.866758333333323</v>
      </c>
      <c r="T135" s="247">
        <f t="shared" si="18"/>
        <v>137.74462013888862</v>
      </c>
      <c r="U135" s="238"/>
      <c r="V135" s="520"/>
      <c r="W135" s="234" t="s">
        <v>230</v>
      </c>
      <c r="X135" s="235"/>
      <c r="Y135" s="235"/>
      <c r="Z135" s="235"/>
      <c r="AA135" s="247">
        <f t="shared" si="19"/>
        <v>0</v>
      </c>
      <c r="AB135" s="238"/>
      <c r="AC135" s="520"/>
      <c r="AD135" s="234" t="s">
        <v>230</v>
      </c>
      <c r="AE135" s="235"/>
      <c r="AF135" s="235"/>
      <c r="AG135" s="235"/>
      <c r="AH135" s="247">
        <f t="shared" si="20"/>
        <v>0</v>
      </c>
      <c r="AI135" s="238"/>
      <c r="AK135" s="240"/>
    </row>
    <row r="136" spans="1:37" x14ac:dyDescent="0.2">
      <c r="A136" s="514"/>
      <c r="B136" s="234" t="s">
        <v>231</v>
      </c>
      <c r="C136" s="235">
        <f t="shared" si="25"/>
        <v>6110.4734999999746</v>
      </c>
      <c r="D136" s="235">
        <f t="shared" si="21"/>
        <v>101.84122499999957</v>
      </c>
      <c r="E136" s="235">
        <f t="shared" si="22"/>
        <v>203.68244999999996</v>
      </c>
      <c r="F136" s="236">
        <f t="shared" si="29"/>
        <v>305.52367499999951</v>
      </c>
      <c r="G136" s="239"/>
      <c r="H136" s="512"/>
      <c r="I136" s="234" t="s">
        <v>231</v>
      </c>
      <c r="J136" s="235">
        <f t="shared" si="26"/>
        <v>534.11600000000271</v>
      </c>
      <c r="K136" s="235">
        <f t="shared" si="23"/>
        <v>8.9019333333333801</v>
      </c>
      <c r="L136" s="235">
        <f t="shared" si="24"/>
        <v>17.803866666666668</v>
      </c>
      <c r="M136" s="247">
        <f t="shared" si="17"/>
        <v>26.705800000000046</v>
      </c>
      <c r="N136" s="238"/>
      <c r="O136" s="520"/>
      <c r="P136" s="234" t="s">
        <v>231</v>
      </c>
      <c r="Q136" s="235">
        <f t="shared" si="30"/>
        <v>3880.8049499999847</v>
      </c>
      <c r="R136" s="235">
        <f t="shared" si="27"/>
        <v>64.680082499999756</v>
      </c>
      <c r="S136" s="235">
        <f t="shared" si="28"/>
        <v>71.866758333333323</v>
      </c>
      <c r="T136" s="247">
        <f t="shared" si="18"/>
        <v>136.54684083333308</v>
      </c>
      <c r="U136" s="238"/>
      <c r="V136" s="520"/>
      <c r="W136" s="234" t="s">
        <v>231</v>
      </c>
      <c r="X136" s="235"/>
      <c r="Y136" s="235"/>
      <c r="Z136" s="235"/>
      <c r="AA136" s="247">
        <f t="shared" si="19"/>
        <v>0</v>
      </c>
      <c r="AB136" s="238"/>
      <c r="AC136" s="520"/>
      <c r="AD136" s="234" t="s">
        <v>231</v>
      </c>
      <c r="AE136" s="235"/>
      <c r="AF136" s="235"/>
      <c r="AG136" s="235"/>
      <c r="AH136" s="247">
        <f t="shared" si="20"/>
        <v>0</v>
      </c>
      <c r="AI136" s="238"/>
      <c r="AK136" s="240"/>
    </row>
    <row r="137" spans="1:37" x14ac:dyDescent="0.2">
      <c r="A137" s="514"/>
      <c r="B137" s="234" t="s">
        <v>232</v>
      </c>
      <c r="C137" s="235">
        <f t="shared" si="25"/>
        <v>5906.7910499999743</v>
      </c>
      <c r="D137" s="235">
        <f t="shared" si="21"/>
        <v>98.446517499999572</v>
      </c>
      <c r="E137" s="235">
        <f t="shared" si="22"/>
        <v>203.68244999999996</v>
      </c>
      <c r="F137" s="236">
        <f t="shared" si="29"/>
        <v>302.12896749999953</v>
      </c>
      <c r="G137" s="239"/>
      <c r="H137" s="512"/>
      <c r="I137" s="234" t="s">
        <v>232</v>
      </c>
      <c r="J137" s="235">
        <f t="shared" si="26"/>
        <v>516.31213333333608</v>
      </c>
      <c r="K137" s="235">
        <f t="shared" si="23"/>
        <v>8.6052022222222693</v>
      </c>
      <c r="L137" s="235">
        <f t="shared" si="24"/>
        <v>17.803866666666668</v>
      </c>
      <c r="M137" s="247">
        <f t="shared" si="17"/>
        <v>26.409068888888939</v>
      </c>
      <c r="N137" s="238"/>
      <c r="O137" s="520"/>
      <c r="P137" s="234" t="s">
        <v>232</v>
      </c>
      <c r="Q137" s="235">
        <f t="shared" si="30"/>
        <v>3808.9381916666516</v>
      </c>
      <c r="R137" s="235">
        <f t="shared" si="27"/>
        <v>63.482303194444199</v>
      </c>
      <c r="S137" s="235">
        <f t="shared" si="28"/>
        <v>71.866758333333323</v>
      </c>
      <c r="T137" s="247">
        <f t="shared" si="18"/>
        <v>135.34906152777751</v>
      </c>
      <c r="U137" s="238"/>
      <c r="V137" s="520"/>
      <c r="W137" s="234" t="s">
        <v>232</v>
      </c>
      <c r="X137" s="235"/>
      <c r="Y137" s="235"/>
      <c r="Z137" s="235"/>
      <c r="AA137" s="247">
        <f t="shared" si="19"/>
        <v>0</v>
      </c>
      <c r="AB137" s="238"/>
      <c r="AC137" s="520"/>
      <c r="AD137" s="234" t="s">
        <v>232</v>
      </c>
      <c r="AE137" s="235"/>
      <c r="AF137" s="235"/>
      <c r="AG137" s="235"/>
      <c r="AH137" s="247">
        <f t="shared" si="20"/>
        <v>0</v>
      </c>
      <c r="AI137" s="238"/>
      <c r="AK137" s="240"/>
    </row>
    <row r="138" spans="1:37" x14ac:dyDescent="0.2">
      <c r="A138" s="514"/>
      <c r="B138" s="234" t="s">
        <v>233</v>
      </c>
      <c r="C138" s="235">
        <f t="shared" si="25"/>
        <v>5703.1085999999741</v>
      </c>
      <c r="D138" s="235">
        <f t="shared" si="21"/>
        <v>95.051809999999577</v>
      </c>
      <c r="E138" s="235">
        <f t="shared" si="22"/>
        <v>203.68244999999996</v>
      </c>
      <c r="F138" s="236">
        <f t="shared" si="29"/>
        <v>298.73425999999955</v>
      </c>
      <c r="G138" s="239"/>
      <c r="H138" s="512"/>
      <c r="I138" s="234" t="s">
        <v>233</v>
      </c>
      <c r="J138" s="235">
        <f t="shared" si="26"/>
        <v>498.50826666666939</v>
      </c>
      <c r="K138" s="235">
        <f t="shared" si="23"/>
        <v>8.3084711111111567</v>
      </c>
      <c r="L138" s="235">
        <f t="shared" si="24"/>
        <v>17.803866666666668</v>
      </c>
      <c r="M138" s="247">
        <f t="shared" si="17"/>
        <v>26.112337777777824</v>
      </c>
      <c r="N138" s="238"/>
      <c r="O138" s="520"/>
      <c r="P138" s="234" t="s">
        <v>233</v>
      </c>
      <c r="Q138" s="235">
        <f t="shared" si="30"/>
        <v>3737.0714333333185</v>
      </c>
      <c r="R138" s="235">
        <f t="shared" si="27"/>
        <v>62.28452388888865</v>
      </c>
      <c r="S138" s="235">
        <f t="shared" si="28"/>
        <v>71.866758333333323</v>
      </c>
      <c r="T138" s="247">
        <f t="shared" si="18"/>
        <v>134.15128222222197</v>
      </c>
      <c r="U138" s="238"/>
      <c r="V138" s="520"/>
      <c r="W138" s="234" t="s">
        <v>233</v>
      </c>
      <c r="X138" s="235"/>
      <c r="Y138" s="235"/>
      <c r="Z138" s="235"/>
      <c r="AA138" s="247">
        <f t="shared" si="19"/>
        <v>0</v>
      </c>
      <c r="AB138" s="238"/>
      <c r="AC138" s="520"/>
      <c r="AD138" s="234" t="s">
        <v>233</v>
      </c>
      <c r="AE138" s="235"/>
      <c r="AF138" s="235"/>
      <c r="AG138" s="235"/>
      <c r="AH138" s="247">
        <f t="shared" si="20"/>
        <v>0</v>
      </c>
      <c r="AI138" s="238"/>
      <c r="AK138" s="240"/>
    </row>
    <row r="139" spans="1:37" x14ac:dyDescent="0.2">
      <c r="A139" s="514"/>
      <c r="B139" s="234" t="s">
        <v>234</v>
      </c>
      <c r="C139" s="235">
        <f t="shared" si="25"/>
        <v>5499.4261499999739</v>
      </c>
      <c r="D139" s="235">
        <f t="shared" si="21"/>
        <v>91.657102499999567</v>
      </c>
      <c r="E139" s="235">
        <f t="shared" si="22"/>
        <v>203.68244999999996</v>
      </c>
      <c r="F139" s="236">
        <f t="shared" si="29"/>
        <v>295.33955249999951</v>
      </c>
      <c r="G139" s="239"/>
      <c r="H139" s="512"/>
      <c r="I139" s="234" t="s">
        <v>234</v>
      </c>
      <c r="J139" s="235">
        <f t="shared" si="26"/>
        <v>480.70440000000269</v>
      </c>
      <c r="K139" s="235">
        <f t="shared" si="23"/>
        <v>8.0117400000000458</v>
      </c>
      <c r="L139" s="235">
        <f t="shared" si="24"/>
        <v>17.803866666666668</v>
      </c>
      <c r="M139" s="247">
        <f t="shared" si="17"/>
        <v>25.815606666666714</v>
      </c>
      <c r="N139" s="238"/>
      <c r="O139" s="520"/>
      <c r="P139" s="234" t="s">
        <v>234</v>
      </c>
      <c r="Q139" s="235">
        <f t="shared" si="30"/>
        <v>3665.2046749999854</v>
      </c>
      <c r="R139" s="235">
        <f t="shared" si="27"/>
        <v>61.086744583333093</v>
      </c>
      <c r="S139" s="235">
        <f t="shared" si="28"/>
        <v>71.866758333333323</v>
      </c>
      <c r="T139" s="247">
        <f t="shared" si="18"/>
        <v>132.95350291666642</v>
      </c>
      <c r="U139" s="238"/>
      <c r="V139" s="520"/>
      <c r="W139" s="234" t="s">
        <v>234</v>
      </c>
      <c r="X139" s="235"/>
      <c r="Y139" s="235"/>
      <c r="Z139" s="235"/>
      <c r="AA139" s="247">
        <f t="shared" si="19"/>
        <v>0</v>
      </c>
      <c r="AB139" s="238"/>
      <c r="AC139" s="520"/>
      <c r="AD139" s="234" t="s">
        <v>234</v>
      </c>
      <c r="AE139" s="235"/>
      <c r="AF139" s="235"/>
      <c r="AG139" s="235"/>
      <c r="AH139" s="247">
        <f t="shared" si="20"/>
        <v>0</v>
      </c>
      <c r="AI139" s="238"/>
      <c r="AK139" s="240"/>
    </row>
    <row r="140" spans="1:37" x14ac:dyDescent="0.2">
      <c r="A140" s="514"/>
      <c r="B140" s="234" t="s">
        <v>235</v>
      </c>
      <c r="C140" s="235">
        <f t="shared" si="25"/>
        <v>5295.7436999999736</v>
      </c>
      <c r="D140" s="235">
        <f t="shared" si="21"/>
        <v>88.262394999999572</v>
      </c>
      <c r="E140" s="235">
        <f t="shared" si="22"/>
        <v>203.68244999999996</v>
      </c>
      <c r="F140" s="236">
        <f t="shared" si="29"/>
        <v>291.94484499999953</v>
      </c>
      <c r="G140" s="239"/>
      <c r="H140" s="512"/>
      <c r="I140" s="234" t="s">
        <v>235</v>
      </c>
      <c r="J140" s="235">
        <f t="shared" si="26"/>
        <v>462.900533333336</v>
      </c>
      <c r="K140" s="235">
        <f t="shared" si="23"/>
        <v>7.7150088888889341</v>
      </c>
      <c r="L140" s="235">
        <f t="shared" si="24"/>
        <v>17.803866666666668</v>
      </c>
      <c r="M140" s="247">
        <f t="shared" si="17"/>
        <v>25.518875555555603</v>
      </c>
      <c r="N140" s="238"/>
      <c r="O140" s="520"/>
      <c r="P140" s="234" t="s">
        <v>235</v>
      </c>
      <c r="Q140" s="235">
        <f t="shared" si="30"/>
        <v>3593.3379166666523</v>
      </c>
      <c r="R140" s="235">
        <f t="shared" si="27"/>
        <v>59.888965277777544</v>
      </c>
      <c r="S140" s="235">
        <f t="shared" si="28"/>
        <v>71.866758333333323</v>
      </c>
      <c r="T140" s="247">
        <f t="shared" si="18"/>
        <v>131.75572361111085</v>
      </c>
      <c r="U140" s="238"/>
      <c r="V140" s="520"/>
      <c r="W140" s="234" t="s">
        <v>235</v>
      </c>
      <c r="X140" s="235"/>
      <c r="Y140" s="235"/>
      <c r="Z140" s="235"/>
      <c r="AA140" s="247">
        <f t="shared" si="19"/>
        <v>0</v>
      </c>
      <c r="AB140" s="238"/>
      <c r="AC140" s="520"/>
      <c r="AD140" s="234" t="s">
        <v>235</v>
      </c>
      <c r="AE140" s="235"/>
      <c r="AF140" s="235"/>
      <c r="AG140" s="235"/>
      <c r="AH140" s="247">
        <f t="shared" si="20"/>
        <v>0</v>
      </c>
      <c r="AI140" s="238"/>
      <c r="AK140" s="240"/>
    </row>
    <row r="141" spans="1:37" x14ac:dyDescent="0.2">
      <c r="A141" s="515"/>
      <c r="B141" s="234" t="s">
        <v>236</v>
      </c>
      <c r="C141" s="235">
        <f t="shared" si="25"/>
        <v>5092.0612499999734</v>
      </c>
      <c r="D141" s="235">
        <f t="shared" si="21"/>
        <v>84.867687499999562</v>
      </c>
      <c r="E141" s="235">
        <f t="shared" si="22"/>
        <v>203.68244999999996</v>
      </c>
      <c r="F141" s="236">
        <f>D141+E141</f>
        <v>288.55013749999955</v>
      </c>
      <c r="G141" s="239">
        <f>SUM(D130:D141)</f>
        <v>1242.4629449999952</v>
      </c>
      <c r="H141" s="512"/>
      <c r="I141" s="234" t="s">
        <v>236</v>
      </c>
      <c r="J141" s="235">
        <f t="shared" si="26"/>
        <v>445.09666666666931</v>
      </c>
      <c r="K141" s="235">
        <f t="shared" si="23"/>
        <v>7.4182777777778215</v>
      </c>
      <c r="L141" s="235">
        <f t="shared" si="24"/>
        <v>17.803866666666668</v>
      </c>
      <c r="M141" s="247">
        <f t="shared" si="17"/>
        <v>25.222144444444488</v>
      </c>
      <c r="N141" s="238">
        <f>SUM(K130:K141)</f>
        <v>108.6035866666672</v>
      </c>
      <c r="O141" s="521"/>
      <c r="P141" s="234" t="s">
        <v>236</v>
      </c>
      <c r="Q141" s="235">
        <f t="shared" si="30"/>
        <v>3521.4711583333192</v>
      </c>
      <c r="R141" s="235">
        <f t="shared" si="27"/>
        <v>58.691185972221994</v>
      </c>
      <c r="S141" s="235">
        <f t="shared" si="28"/>
        <v>71.866758333333323</v>
      </c>
      <c r="T141" s="247">
        <f t="shared" si="18"/>
        <v>130.55794430555531</v>
      </c>
      <c r="U141" s="238">
        <f>SUM(R130:R141)</f>
        <v>783.34766583333044</v>
      </c>
      <c r="V141" s="521"/>
      <c r="W141" s="234" t="s">
        <v>236</v>
      </c>
      <c r="X141" s="235"/>
      <c r="Y141" s="235"/>
      <c r="Z141" s="235"/>
      <c r="AA141" s="247">
        <f t="shared" si="19"/>
        <v>0</v>
      </c>
      <c r="AB141" s="238">
        <f>SUM(Y130:Y141)</f>
        <v>0</v>
      </c>
      <c r="AC141" s="521"/>
      <c r="AD141" s="234" t="s">
        <v>236</v>
      </c>
      <c r="AE141" s="235"/>
      <c r="AF141" s="235"/>
      <c r="AG141" s="235"/>
      <c r="AH141" s="247">
        <f t="shared" si="20"/>
        <v>0</v>
      </c>
      <c r="AI141" s="238">
        <f>SUM(AF130:AF141)</f>
        <v>0</v>
      </c>
      <c r="AJ141" s="208">
        <f>AJ129+1</f>
        <v>2032</v>
      </c>
      <c r="AK141" s="240">
        <f>G141+N141+U141+AB141+AI141</f>
        <v>2134.414197499993</v>
      </c>
    </row>
    <row r="142" spans="1:37" x14ac:dyDescent="0.2">
      <c r="A142" s="513">
        <f>A130+1</f>
        <v>2033</v>
      </c>
      <c r="B142" s="234" t="s">
        <v>225</v>
      </c>
      <c r="C142" s="235">
        <f t="shared" si="25"/>
        <v>4888.3787999999731</v>
      </c>
      <c r="D142" s="235">
        <f t="shared" si="21"/>
        <v>81.472979999999552</v>
      </c>
      <c r="E142" s="235">
        <f t="shared" si="22"/>
        <v>203.68244999999996</v>
      </c>
      <c r="F142" s="236">
        <f t="shared" ref="F142:F152" si="31">D142+E142</f>
        <v>285.15542999999951</v>
      </c>
      <c r="G142" s="239"/>
      <c r="H142" s="512">
        <f>H130+1</f>
        <v>2033</v>
      </c>
      <c r="I142" s="234" t="s">
        <v>225</v>
      </c>
      <c r="J142" s="235">
        <f t="shared" si="26"/>
        <v>427.29280000000261</v>
      </c>
      <c r="K142" s="235">
        <f t="shared" si="23"/>
        <v>7.1215466666667107</v>
      </c>
      <c r="L142" s="235">
        <f t="shared" si="24"/>
        <v>17.803866666666668</v>
      </c>
      <c r="M142" s="247">
        <f t="shared" si="17"/>
        <v>24.925413333333378</v>
      </c>
      <c r="N142" s="237"/>
      <c r="O142" s="519">
        <f>O130+1</f>
        <v>2033</v>
      </c>
      <c r="P142" s="234" t="s">
        <v>225</v>
      </c>
      <c r="Q142" s="235">
        <f t="shared" si="30"/>
        <v>3449.6043999999861</v>
      </c>
      <c r="R142" s="235">
        <f t="shared" si="27"/>
        <v>57.493406666666438</v>
      </c>
      <c r="S142" s="235">
        <f t="shared" si="28"/>
        <v>71.866758333333323</v>
      </c>
      <c r="T142" s="247">
        <f t="shared" si="18"/>
        <v>129.36016499999977</v>
      </c>
      <c r="U142" s="237"/>
      <c r="V142" s="519">
        <v>2032</v>
      </c>
      <c r="W142" s="234" t="s">
        <v>225</v>
      </c>
      <c r="X142" s="235"/>
      <c r="Y142" s="235"/>
      <c r="Z142" s="235"/>
      <c r="AA142" s="247">
        <f t="shared" si="19"/>
        <v>0</v>
      </c>
      <c r="AB142" s="237"/>
      <c r="AC142" s="519">
        <v>2032</v>
      </c>
      <c r="AD142" s="234" t="s">
        <v>225</v>
      </c>
      <c r="AE142" s="235"/>
      <c r="AF142" s="235"/>
      <c r="AG142" s="235"/>
      <c r="AH142" s="247">
        <f t="shared" si="20"/>
        <v>0</v>
      </c>
      <c r="AI142" s="237"/>
      <c r="AK142" s="240"/>
    </row>
    <row r="143" spans="1:37" x14ac:dyDescent="0.2">
      <c r="A143" s="514"/>
      <c r="B143" s="234" t="s">
        <v>226</v>
      </c>
      <c r="C143" s="235">
        <f t="shared" si="25"/>
        <v>4684.6963499999729</v>
      </c>
      <c r="D143" s="235">
        <f t="shared" si="21"/>
        <v>78.078272499999557</v>
      </c>
      <c r="E143" s="235">
        <f t="shared" si="22"/>
        <v>203.68244999999996</v>
      </c>
      <c r="F143" s="236">
        <f t="shared" si="31"/>
        <v>281.76072249999953</v>
      </c>
      <c r="G143" s="239"/>
      <c r="H143" s="512"/>
      <c r="I143" s="234" t="s">
        <v>226</v>
      </c>
      <c r="J143" s="235">
        <f t="shared" si="26"/>
        <v>409.48893333333592</v>
      </c>
      <c r="K143" s="235">
        <f t="shared" si="23"/>
        <v>6.8248155555555989</v>
      </c>
      <c r="L143" s="235">
        <f t="shared" si="24"/>
        <v>17.803866666666668</v>
      </c>
      <c r="M143" s="247">
        <f t="shared" si="17"/>
        <v>24.628682222222267</v>
      </c>
      <c r="N143" s="238"/>
      <c r="O143" s="520"/>
      <c r="P143" s="234" t="s">
        <v>226</v>
      </c>
      <c r="Q143" s="235">
        <f t="shared" si="30"/>
        <v>3377.737641666653</v>
      </c>
      <c r="R143" s="235">
        <f t="shared" si="27"/>
        <v>56.295627361110888</v>
      </c>
      <c r="S143" s="235">
        <f t="shared" si="28"/>
        <v>71.866758333333323</v>
      </c>
      <c r="T143" s="247">
        <f t="shared" si="18"/>
        <v>128.1623856944442</v>
      </c>
      <c r="U143" s="238"/>
      <c r="V143" s="520"/>
      <c r="W143" s="234" t="s">
        <v>226</v>
      </c>
      <c r="X143" s="235"/>
      <c r="Y143" s="235"/>
      <c r="Z143" s="235"/>
      <c r="AA143" s="247">
        <f t="shared" si="19"/>
        <v>0</v>
      </c>
      <c r="AB143" s="238"/>
      <c r="AC143" s="520"/>
      <c r="AD143" s="234" t="s">
        <v>226</v>
      </c>
      <c r="AE143" s="235"/>
      <c r="AF143" s="235"/>
      <c r="AG143" s="235"/>
      <c r="AH143" s="247">
        <f t="shared" si="20"/>
        <v>0</v>
      </c>
      <c r="AI143" s="238"/>
      <c r="AK143" s="240"/>
    </row>
    <row r="144" spans="1:37" x14ac:dyDescent="0.2">
      <c r="A144" s="514"/>
      <c r="B144" s="234" t="s">
        <v>227</v>
      </c>
      <c r="C144" s="235">
        <f t="shared" si="25"/>
        <v>4481.0138999999726</v>
      </c>
      <c r="D144" s="235">
        <f t="shared" si="21"/>
        <v>74.683564999999547</v>
      </c>
      <c r="E144" s="235">
        <f t="shared" si="22"/>
        <v>203.68244999999996</v>
      </c>
      <c r="F144" s="236">
        <f t="shared" si="31"/>
        <v>278.36601499999949</v>
      </c>
      <c r="G144" s="239"/>
      <c r="H144" s="512"/>
      <c r="I144" s="234" t="s">
        <v>227</v>
      </c>
      <c r="J144" s="235">
        <f t="shared" si="26"/>
        <v>391.68506666666923</v>
      </c>
      <c r="K144" s="235">
        <f t="shared" si="23"/>
        <v>6.5280844444444881</v>
      </c>
      <c r="L144" s="235">
        <f t="shared" si="24"/>
        <v>17.803866666666668</v>
      </c>
      <c r="M144" s="247">
        <f t="shared" si="17"/>
        <v>24.331951111111156</v>
      </c>
      <c r="N144" s="238"/>
      <c r="O144" s="520"/>
      <c r="P144" s="234" t="s">
        <v>227</v>
      </c>
      <c r="Q144" s="235">
        <f t="shared" si="30"/>
        <v>3305.8708833333199</v>
      </c>
      <c r="R144" s="235">
        <f t="shared" si="27"/>
        <v>55.097848055555339</v>
      </c>
      <c r="S144" s="235">
        <f t="shared" si="28"/>
        <v>71.866758333333323</v>
      </c>
      <c r="T144" s="247">
        <f t="shared" si="18"/>
        <v>126.96460638888865</v>
      </c>
      <c r="U144" s="238"/>
      <c r="V144" s="520"/>
      <c r="W144" s="234" t="s">
        <v>227</v>
      </c>
      <c r="X144" s="235"/>
      <c r="Y144" s="235"/>
      <c r="Z144" s="235"/>
      <c r="AA144" s="247">
        <f t="shared" si="19"/>
        <v>0</v>
      </c>
      <c r="AB144" s="238"/>
      <c r="AC144" s="520"/>
      <c r="AD144" s="234" t="s">
        <v>227</v>
      </c>
      <c r="AE144" s="235"/>
      <c r="AF144" s="235"/>
      <c r="AG144" s="235"/>
      <c r="AH144" s="247">
        <f t="shared" si="20"/>
        <v>0</v>
      </c>
      <c r="AI144" s="238"/>
      <c r="AK144" s="240"/>
    </row>
    <row r="145" spans="1:37" x14ac:dyDescent="0.2">
      <c r="A145" s="514"/>
      <c r="B145" s="234" t="s">
        <v>228</v>
      </c>
      <c r="C145" s="235">
        <f t="shared" si="25"/>
        <v>4277.3314499999724</v>
      </c>
      <c r="D145" s="235">
        <f t="shared" si="21"/>
        <v>71.288857499999537</v>
      </c>
      <c r="E145" s="235">
        <f t="shared" si="22"/>
        <v>203.68244999999996</v>
      </c>
      <c r="F145" s="236">
        <f t="shared" si="31"/>
        <v>274.97130749999951</v>
      </c>
      <c r="G145" s="239"/>
      <c r="H145" s="512"/>
      <c r="I145" s="234" t="s">
        <v>228</v>
      </c>
      <c r="J145" s="235">
        <f t="shared" si="26"/>
        <v>373.88120000000254</v>
      </c>
      <c r="K145" s="235">
        <f t="shared" si="23"/>
        <v>6.2313533333333764</v>
      </c>
      <c r="L145" s="235">
        <f t="shared" si="24"/>
        <v>17.803866666666668</v>
      </c>
      <c r="M145" s="247">
        <f t="shared" si="17"/>
        <v>24.035220000000045</v>
      </c>
      <c r="N145" s="238"/>
      <c r="O145" s="520"/>
      <c r="P145" s="234" t="s">
        <v>228</v>
      </c>
      <c r="Q145" s="235">
        <f t="shared" si="30"/>
        <v>3234.0041249999867</v>
      </c>
      <c r="R145" s="235">
        <f t="shared" si="27"/>
        <v>53.900068749999782</v>
      </c>
      <c r="S145" s="235">
        <f t="shared" si="28"/>
        <v>71.866758333333323</v>
      </c>
      <c r="T145" s="247">
        <f t="shared" si="18"/>
        <v>125.76682708333311</v>
      </c>
      <c r="U145" s="238"/>
      <c r="V145" s="520"/>
      <c r="W145" s="234" t="s">
        <v>228</v>
      </c>
      <c r="X145" s="235"/>
      <c r="Y145" s="235"/>
      <c r="Z145" s="235"/>
      <c r="AA145" s="247">
        <f t="shared" si="19"/>
        <v>0</v>
      </c>
      <c r="AB145" s="238"/>
      <c r="AC145" s="520"/>
      <c r="AD145" s="234" t="s">
        <v>228</v>
      </c>
      <c r="AE145" s="235"/>
      <c r="AF145" s="235"/>
      <c r="AG145" s="235"/>
      <c r="AH145" s="247">
        <f t="shared" si="20"/>
        <v>0</v>
      </c>
      <c r="AI145" s="238"/>
      <c r="AK145" s="240"/>
    </row>
    <row r="146" spans="1:37" x14ac:dyDescent="0.2">
      <c r="A146" s="514"/>
      <c r="B146" s="234" t="s">
        <v>229</v>
      </c>
      <c r="C146" s="235">
        <f t="shared" si="25"/>
        <v>4073.6489999999726</v>
      </c>
      <c r="D146" s="235">
        <f t="shared" si="21"/>
        <v>67.894149999999556</v>
      </c>
      <c r="E146" s="235">
        <f t="shared" si="22"/>
        <v>203.68244999999996</v>
      </c>
      <c r="F146" s="236">
        <f t="shared" si="31"/>
        <v>271.57659999999953</v>
      </c>
      <c r="G146" s="239"/>
      <c r="H146" s="512"/>
      <c r="I146" s="234" t="s">
        <v>229</v>
      </c>
      <c r="J146" s="235">
        <f t="shared" si="26"/>
        <v>356.07733333333584</v>
      </c>
      <c r="K146" s="235">
        <f t="shared" si="23"/>
        <v>5.9346222222222638</v>
      </c>
      <c r="L146" s="235">
        <f t="shared" si="24"/>
        <v>17.803866666666668</v>
      </c>
      <c r="M146" s="247">
        <f t="shared" si="17"/>
        <v>23.738488888888931</v>
      </c>
      <c r="N146" s="238"/>
      <c r="O146" s="520"/>
      <c r="P146" s="234" t="s">
        <v>229</v>
      </c>
      <c r="Q146" s="235">
        <f t="shared" si="30"/>
        <v>3162.1373666666536</v>
      </c>
      <c r="R146" s="235">
        <f t="shared" si="27"/>
        <v>52.702289444444233</v>
      </c>
      <c r="S146" s="235">
        <f t="shared" si="28"/>
        <v>71.866758333333323</v>
      </c>
      <c r="T146" s="247">
        <f t="shared" si="18"/>
        <v>124.56904777777756</v>
      </c>
      <c r="U146" s="238"/>
      <c r="V146" s="520"/>
      <c r="W146" s="234" t="s">
        <v>229</v>
      </c>
      <c r="X146" s="235"/>
      <c r="Y146" s="235"/>
      <c r="Z146" s="235"/>
      <c r="AA146" s="247">
        <f t="shared" si="19"/>
        <v>0</v>
      </c>
      <c r="AB146" s="238"/>
      <c r="AC146" s="520"/>
      <c r="AD146" s="234" t="s">
        <v>229</v>
      </c>
      <c r="AE146" s="235"/>
      <c r="AF146" s="235"/>
      <c r="AG146" s="235"/>
      <c r="AH146" s="247">
        <f t="shared" si="20"/>
        <v>0</v>
      </c>
      <c r="AI146" s="238"/>
      <c r="AK146" s="240"/>
    </row>
    <row r="147" spans="1:37" x14ac:dyDescent="0.2">
      <c r="A147" s="514"/>
      <c r="B147" s="234" t="s">
        <v>230</v>
      </c>
      <c r="C147" s="235">
        <f t="shared" si="25"/>
        <v>3869.9665499999728</v>
      </c>
      <c r="D147" s="235">
        <f t="shared" si="21"/>
        <v>64.499442499999546</v>
      </c>
      <c r="E147" s="235">
        <f t="shared" si="22"/>
        <v>203.68244999999996</v>
      </c>
      <c r="F147" s="236">
        <f t="shared" si="31"/>
        <v>268.18189249999949</v>
      </c>
      <c r="G147" s="239"/>
      <c r="H147" s="512"/>
      <c r="I147" s="234" t="s">
        <v>230</v>
      </c>
      <c r="J147" s="235">
        <f t="shared" si="26"/>
        <v>338.27346666666915</v>
      </c>
      <c r="K147" s="235">
        <f t="shared" si="23"/>
        <v>5.6378911111111529</v>
      </c>
      <c r="L147" s="235">
        <f t="shared" si="24"/>
        <v>17.803866666666668</v>
      </c>
      <c r="M147" s="247">
        <f t="shared" si="17"/>
        <v>23.44175777777782</v>
      </c>
      <c r="N147" s="238"/>
      <c r="O147" s="520"/>
      <c r="P147" s="234" t="s">
        <v>230</v>
      </c>
      <c r="Q147" s="235">
        <f t="shared" si="30"/>
        <v>3090.2706083333205</v>
      </c>
      <c r="R147" s="235">
        <f t="shared" si="27"/>
        <v>51.504510138888683</v>
      </c>
      <c r="S147" s="235">
        <f t="shared" si="28"/>
        <v>71.866758333333323</v>
      </c>
      <c r="T147" s="247">
        <f t="shared" si="18"/>
        <v>123.371268472222</v>
      </c>
      <c r="U147" s="238"/>
      <c r="V147" s="520"/>
      <c r="W147" s="234" t="s">
        <v>230</v>
      </c>
      <c r="X147" s="235"/>
      <c r="Y147" s="235"/>
      <c r="Z147" s="235"/>
      <c r="AA147" s="247">
        <f t="shared" si="19"/>
        <v>0</v>
      </c>
      <c r="AB147" s="238"/>
      <c r="AC147" s="520"/>
      <c r="AD147" s="234" t="s">
        <v>230</v>
      </c>
      <c r="AE147" s="235"/>
      <c r="AF147" s="235"/>
      <c r="AG147" s="235"/>
      <c r="AH147" s="247">
        <f t="shared" si="20"/>
        <v>0</v>
      </c>
      <c r="AI147" s="238"/>
      <c r="AK147" s="240"/>
    </row>
    <row r="148" spans="1:37" x14ac:dyDescent="0.2">
      <c r="A148" s="514"/>
      <c r="B148" s="234" t="s">
        <v>231</v>
      </c>
      <c r="C148" s="235">
        <f t="shared" si="25"/>
        <v>3666.284099999973</v>
      </c>
      <c r="D148" s="235">
        <f t="shared" si="21"/>
        <v>61.10473499999955</v>
      </c>
      <c r="E148" s="235">
        <f t="shared" si="22"/>
        <v>203.68244999999996</v>
      </c>
      <c r="F148" s="236">
        <f t="shared" si="31"/>
        <v>264.78718499999951</v>
      </c>
      <c r="G148" s="239"/>
      <c r="H148" s="512"/>
      <c r="I148" s="234" t="s">
        <v>231</v>
      </c>
      <c r="J148" s="235">
        <f t="shared" si="26"/>
        <v>320.46960000000246</v>
      </c>
      <c r="K148" s="235">
        <f t="shared" si="23"/>
        <v>5.3411600000000412</v>
      </c>
      <c r="L148" s="235">
        <f t="shared" si="24"/>
        <v>17.803866666666668</v>
      </c>
      <c r="M148" s="247">
        <f t="shared" si="17"/>
        <v>23.145026666666709</v>
      </c>
      <c r="N148" s="238"/>
      <c r="O148" s="520"/>
      <c r="P148" s="234" t="s">
        <v>231</v>
      </c>
      <c r="Q148" s="235">
        <f t="shared" si="30"/>
        <v>3018.4038499999874</v>
      </c>
      <c r="R148" s="235">
        <f t="shared" si="27"/>
        <v>50.306730833333127</v>
      </c>
      <c r="S148" s="235">
        <f t="shared" si="28"/>
        <v>71.866758333333323</v>
      </c>
      <c r="T148" s="247">
        <f t="shared" si="18"/>
        <v>122.17348916666646</v>
      </c>
      <c r="U148" s="238"/>
      <c r="V148" s="520"/>
      <c r="W148" s="234" t="s">
        <v>231</v>
      </c>
      <c r="X148" s="235"/>
      <c r="Y148" s="235"/>
      <c r="Z148" s="235"/>
      <c r="AA148" s="247">
        <f t="shared" si="19"/>
        <v>0</v>
      </c>
      <c r="AB148" s="238"/>
      <c r="AC148" s="520"/>
      <c r="AD148" s="234" t="s">
        <v>231</v>
      </c>
      <c r="AE148" s="235"/>
      <c r="AF148" s="235"/>
      <c r="AG148" s="235"/>
      <c r="AH148" s="247">
        <f t="shared" si="20"/>
        <v>0</v>
      </c>
      <c r="AI148" s="238"/>
      <c r="AK148" s="240"/>
    </row>
    <row r="149" spans="1:37" x14ac:dyDescent="0.2">
      <c r="A149" s="514"/>
      <c r="B149" s="234" t="s">
        <v>232</v>
      </c>
      <c r="C149" s="235">
        <f t="shared" si="25"/>
        <v>3462.6016499999732</v>
      </c>
      <c r="D149" s="235">
        <f t="shared" si="21"/>
        <v>57.710027499999562</v>
      </c>
      <c r="E149" s="235">
        <f t="shared" si="22"/>
        <v>203.68244999999996</v>
      </c>
      <c r="F149" s="236">
        <f t="shared" si="31"/>
        <v>261.39247749999953</v>
      </c>
      <c r="G149" s="239"/>
      <c r="H149" s="512"/>
      <c r="I149" s="234" t="s">
        <v>232</v>
      </c>
      <c r="J149" s="235">
        <f t="shared" si="26"/>
        <v>302.66573333333577</v>
      </c>
      <c r="K149" s="235">
        <f t="shared" si="23"/>
        <v>5.0444288888889295</v>
      </c>
      <c r="L149" s="235">
        <f t="shared" si="24"/>
        <v>17.803866666666668</v>
      </c>
      <c r="M149" s="247">
        <f t="shared" si="17"/>
        <v>22.848295555555598</v>
      </c>
      <c r="N149" s="238"/>
      <c r="O149" s="520"/>
      <c r="P149" s="234" t="s">
        <v>232</v>
      </c>
      <c r="Q149" s="235">
        <f t="shared" si="30"/>
        <v>2946.5370916666543</v>
      </c>
      <c r="R149" s="235">
        <f t="shared" si="27"/>
        <v>49.108951527777577</v>
      </c>
      <c r="S149" s="235">
        <f t="shared" si="28"/>
        <v>71.866758333333323</v>
      </c>
      <c r="T149" s="247">
        <f t="shared" si="18"/>
        <v>120.9757098611109</v>
      </c>
      <c r="U149" s="238"/>
      <c r="V149" s="520"/>
      <c r="W149" s="234" t="s">
        <v>232</v>
      </c>
      <c r="X149" s="235"/>
      <c r="Y149" s="235"/>
      <c r="Z149" s="235"/>
      <c r="AA149" s="247">
        <f t="shared" si="19"/>
        <v>0</v>
      </c>
      <c r="AB149" s="238"/>
      <c r="AC149" s="520"/>
      <c r="AD149" s="234" t="s">
        <v>232</v>
      </c>
      <c r="AE149" s="235"/>
      <c r="AF149" s="235"/>
      <c r="AG149" s="235"/>
      <c r="AH149" s="247">
        <f t="shared" si="20"/>
        <v>0</v>
      </c>
      <c r="AI149" s="238"/>
      <c r="AK149" s="240"/>
    </row>
    <row r="150" spans="1:37" x14ac:dyDescent="0.2">
      <c r="A150" s="514"/>
      <c r="B150" s="234" t="s">
        <v>233</v>
      </c>
      <c r="C150" s="235">
        <f t="shared" si="25"/>
        <v>3258.9191999999734</v>
      </c>
      <c r="D150" s="235">
        <f t="shared" si="21"/>
        <v>54.315319999999559</v>
      </c>
      <c r="E150" s="235">
        <f t="shared" si="22"/>
        <v>203.68244999999996</v>
      </c>
      <c r="F150" s="236">
        <f t="shared" si="31"/>
        <v>257.99776999999949</v>
      </c>
      <c r="G150" s="239"/>
      <c r="H150" s="512"/>
      <c r="I150" s="234" t="s">
        <v>233</v>
      </c>
      <c r="J150" s="235">
        <f t="shared" si="26"/>
        <v>284.86186666666907</v>
      </c>
      <c r="K150" s="235">
        <f t="shared" si="23"/>
        <v>4.7476977777778187</v>
      </c>
      <c r="L150" s="235">
        <f t="shared" si="24"/>
        <v>17.803866666666668</v>
      </c>
      <c r="M150" s="247">
        <f t="shared" si="17"/>
        <v>22.551564444444487</v>
      </c>
      <c r="N150" s="238"/>
      <c r="O150" s="520"/>
      <c r="P150" s="234" t="s">
        <v>233</v>
      </c>
      <c r="Q150" s="235">
        <f t="shared" si="30"/>
        <v>2874.6703333333212</v>
      </c>
      <c r="R150" s="235">
        <f t="shared" si="27"/>
        <v>47.911172222222028</v>
      </c>
      <c r="S150" s="235">
        <f t="shared" si="28"/>
        <v>71.866758333333323</v>
      </c>
      <c r="T150" s="247">
        <f t="shared" si="18"/>
        <v>119.77793055555534</v>
      </c>
      <c r="U150" s="238"/>
      <c r="V150" s="520"/>
      <c r="W150" s="234" t="s">
        <v>233</v>
      </c>
      <c r="X150" s="235"/>
      <c r="Y150" s="235"/>
      <c r="Z150" s="235"/>
      <c r="AA150" s="247">
        <f t="shared" si="19"/>
        <v>0</v>
      </c>
      <c r="AB150" s="238"/>
      <c r="AC150" s="520"/>
      <c r="AD150" s="234" t="s">
        <v>233</v>
      </c>
      <c r="AE150" s="235"/>
      <c r="AF150" s="235"/>
      <c r="AG150" s="235"/>
      <c r="AH150" s="247">
        <f t="shared" si="20"/>
        <v>0</v>
      </c>
      <c r="AI150" s="238"/>
      <c r="AK150" s="240"/>
    </row>
    <row r="151" spans="1:37" x14ac:dyDescent="0.2">
      <c r="A151" s="514"/>
      <c r="B151" s="234" t="s">
        <v>234</v>
      </c>
      <c r="C151" s="235">
        <f t="shared" si="25"/>
        <v>3055.2367499999737</v>
      </c>
      <c r="D151" s="235">
        <f t="shared" si="21"/>
        <v>50.920612499999557</v>
      </c>
      <c r="E151" s="235">
        <f t="shared" si="22"/>
        <v>203.68244999999996</v>
      </c>
      <c r="F151" s="236">
        <f t="shared" si="31"/>
        <v>254.60306249999951</v>
      </c>
      <c r="G151" s="239"/>
      <c r="H151" s="512"/>
      <c r="I151" s="234" t="s">
        <v>234</v>
      </c>
      <c r="J151" s="235">
        <f t="shared" si="26"/>
        <v>267.05800000000238</v>
      </c>
      <c r="K151" s="235">
        <f t="shared" si="23"/>
        <v>4.450966666666706</v>
      </c>
      <c r="L151" s="235">
        <f t="shared" si="24"/>
        <v>17.803866666666668</v>
      </c>
      <c r="M151" s="247">
        <f>K151+L151</f>
        <v>22.254833333333373</v>
      </c>
      <c r="N151" s="238"/>
      <c r="O151" s="520"/>
      <c r="P151" s="234" t="s">
        <v>234</v>
      </c>
      <c r="Q151" s="235">
        <f t="shared" si="30"/>
        <v>2802.8035749999881</v>
      </c>
      <c r="R151" s="235">
        <f t="shared" si="27"/>
        <v>46.713392916666471</v>
      </c>
      <c r="S151" s="235">
        <f t="shared" si="28"/>
        <v>71.866758333333323</v>
      </c>
      <c r="T151" s="247">
        <f t="shared" si="18"/>
        <v>118.5801512499998</v>
      </c>
      <c r="U151" s="238"/>
      <c r="V151" s="520"/>
      <c r="W151" s="234" t="s">
        <v>234</v>
      </c>
      <c r="X151" s="235"/>
      <c r="Y151" s="235"/>
      <c r="Z151" s="235"/>
      <c r="AA151" s="247">
        <f t="shared" si="19"/>
        <v>0</v>
      </c>
      <c r="AB151" s="238"/>
      <c r="AC151" s="520"/>
      <c r="AD151" s="234" t="s">
        <v>234</v>
      </c>
      <c r="AE151" s="235"/>
      <c r="AF151" s="235"/>
      <c r="AG151" s="235"/>
      <c r="AH151" s="247">
        <f t="shared" si="20"/>
        <v>0</v>
      </c>
      <c r="AI151" s="238"/>
      <c r="AK151" s="240"/>
    </row>
    <row r="152" spans="1:37" x14ac:dyDescent="0.2">
      <c r="A152" s="514"/>
      <c r="B152" s="234" t="s">
        <v>235</v>
      </c>
      <c r="C152" s="235">
        <f t="shared" si="25"/>
        <v>2851.5542999999739</v>
      </c>
      <c r="D152" s="235">
        <f t="shared" si="21"/>
        <v>47.525904999999568</v>
      </c>
      <c r="E152" s="235">
        <f t="shared" si="22"/>
        <v>203.68244999999996</v>
      </c>
      <c r="F152" s="236">
        <f t="shared" si="31"/>
        <v>251.20835499999953</v>
      </c>
      <c r="G152" s="239"/>
      <c r="H152" s="512"/>
      <c r="I152" s="234" t="s">
        <v>235</v>
      </c>
      <c r="J152" s="235">
        <f t="shared" si="26"/>
        <v>249.25413333333572</v>
      </c>
      <c r="K152" s="235">
        <f t="shared" si="23"/>
        <v>4.1542355555555952</v>
      </c>
      <c r="L152" s="235">
        <f t="shared" si="24"/>
        <v>17.803866666666668</v>
      </c>
      <c r="M152" s="247">
        <f>K152+L152</f>
        <v>21.958102222222262</v>
      </c>
      <c r="N152" s="238"/>
      <c r="O152" s="520"/>
      <c r="P152" s="234" t="s">
        <v>235</v>
      </c>
      <c r="Q152" s="235">
        <f t="shared" si="30"/>
        <v>2730.936816666655</v>
      </c>
      <c r="R152" s="235">
        <f t="shared" si="27"/>
        <v>45.515613611110922</v>
      </c>
      <c r="S152" s="235">
        <f t="shared" si="28"/>
        <v>71.866758333333323</v>
      </c>
      <c r="T152" s="247">
        <f t="shared" si="18"/>
        <v>117.38237194444424</v>
      </c>
      <c r="U152" s="238"/>
      <c r="V152" s="520"/>
      <c r="W152" s="234" t="s">
        <v>235</v>
      </c>
      <c r="X152" s="235"/>
      <c r="Y152" s="235"/>
      <c r="Z152" s="235"/>
      <c r="AA152" s="247">
        <f t="shared" si="19"/>
        <v>0</v>
      </c>
      <c r="AB152" s="238"/>
      <c r="AC152" s="520"/>
      <c r="AD152" s="234" t="s">
        <v>235</v>
      </c>
      <c r="AE152" s="235"/>
      <c r="AF152" s="235"/>
      <c r="AG152" s="235"/>
      <c r="AH152" s="247">
        <f t="shared" si="20"/>
        <v>0</v>
      </c>
      <c r="AI152" s="238"/>
      <c r="AK152" s="240"/>
    </row>
    <row r="153" spans="1:37" x14ac:dyDescent="0.2">
      <c r="A153" s="515"/>
      <c r="B153" s="234" t="s">
        <v>236</v>
      </c>
      <c r="C153" s="235">
        <f t="shared" si="25"/>
        <v>2647.8718499999741</v>
      </c>
      <c r="D153" s="235">
        <f t="shared" si="21"/>
        <v>44.131197499999566</v>
      </c>
      <c r="E153" s="235">
        <f t="shared" si="22"/>
        <v>203.68244999999996</v>
      </c>
      <c r="F153" s="236">
        <f>D153+E153</f>
        <v>247.81364749999952</v>
      </c>
      <c r="G153" s="239">
        <f>SUM(D142:D153)</f>
        <v>753.62506499999461</v>
      </c>
      <c r="H153" s="512"/>
      <c r="I153" s="234" t="s">
        <v>236</v>
      </c>
      <c r="J153" s="235">
        <f t="shared" si="26"/>
        <v>231.45026666666905</v>
      </c>
      <c r="K153" s="235">
        <f t="shared" si="23"/>
        <v>3.8575044444444848</v>
      </c>
      <c r="L153" s="235">
        <f t="shared" si="24"/>
        <v>17.803866666666668</v>
      </c>
      <c r="M153" s="247">
        <f>K153+L153</f>
        <v>21.661371111111151</v>
      </c>
      <c r="N153" s="239">
        <f>SUM(K142:K153)</f>
        <v>65.874306666667167</v>
      </c>
      <c r="O153" s="521"/>
      <c r="P153" s="234" t="s">
        <v>236</v>
      </c>
      <c r="Q153" s="235">
        <f t="shared" si="30"/>
        <v>2659.0700583333219</v>
      </c>
      <c r="R153" s="235">
        <f t="shared" si="27"/>
        <v>44.317834305555373</v>
      </c>
      <c r="S153" s="235">
        <f t="shared" si="28"/>
        <v>71.866758333333323</v>
      </c>
      <c r="T153" s="247">
        <f t="shared" si="18"/>
        <v>116.18459263888869</v>
      </c>
      <c r="U153" s="238">
        <f>SUM(R142:R153)</f>
        <v>610.86744583333086</v>
      </c>
      <c r="V153" s="521"/>
      <c r="W153" s="234" t="s">
        <v>236</v>
      </c>
      <c r="X153" s="235"/>
      <c r="Y153" s="235"/>
      <c r="Z153" s="235"/>
      <c r="AA153" s="247">
        <f t="shared" si="19"/>
        <v>0</v>
      </c>
      <c r="AB153" s="238">
        <f>SUM(Y142:Y153)</f>
        <v>0</v>
      </c>
      <c r="AC153" s="521"/>
      <c r="AD153" s="234" t="s">
        <v>236</v>
      </c>
      <c r="AE153" s="235"/>
      <c r="AF153" s="235"/>
      <c r="AG153" s="235"/>
      <c r="AH153" s="247">
        <f t="shared" si="20"/>
        <v>0</v>
      </c>
      <c r="AI153" s="238">
        <f>SUM(AF142:AF153)</f>
        <v>0</v>
      </c>
      <c r="AJ153" s="208">
        <f>O142</f>
        <v>2033</v>
      </c>
      <c r="AK153" s="240">
        <f>G153+N153+U153+AB153+AI153</f>
        <v>1430.3668174999925</v>
      </c>
    </row>
    <row r="154" spans="1:37" x14ac:dyDescent="0.2">
      <c r="A154" s="513">
        <f>A142+1</f>
        <v>2034</v>
      </c>
      <c r="B154" s="234" t="s">
        <v>225</v>
      </c>
      <c r="C154" s="235">
        <f t="shared" si="25"/>
        <v>2444.1893999999743</v>
      </c>
      <c r="D154" s="235">
        <f t="shared" si="21"/>
        <v>40.73648999999957</v>
      </c>
      <c r="E154" s="235">
        <f t="shared" si="22"/>
        <v>203.68244999999996</v>
      </c>
      <c r="F154" s="236">
        <f>D154+E154</f>
        <v>244.41893999999954</v>
      </c>
      <c r="G154" s="239"/>
      <c r="H154" s="512">
        <f>H142+1</f>
        <v>2034</v>
      </c>
      <c r="I154" s="234" t="s">
        <v>225</v>
      </c>
      <c r="J154" s="235">
        <f t="shared" si="26"/>
        <v>213.64640000000239</v>
      </c>
      <c r="K154" s="235">
        <f t="shared" si="23"/>
        <v>3.5607733333333731</v>
      </c>
      <c r="L154" s="235">
        <f t="shared" si="24"/>
        <v>17.803866666666668</v>
      </c>
      <c r="M154" s="247">
        <f t="shared" ref="M154:M165" si="32">K154+L154</f>
        <v>21.36464000000004</v>
      </c>
      <c r="N154" s="239"/>
      <c r="O154" s="519">
        <f>O142+1</f>
        <v>2034</v>
      </c>
      <c r="P154" s="234" t="s">
        <v>225</v>
      </c>
      <c r="Q154" s="235">
        <f t="shared" si="30"/>
        <v>2587.2032999999888</v>
      </c>
      <c r="R154" s="235">
        <f t="shared" si="27"/>
        <v>43.120054999999816</v>
      </c>
      <c r="S154" s="235">
        <f t="shared" si="28"/>
        <v>71.866758333333323</v>
      </c>
      <c r="T154" s="247">
        <f t="shared" si="18"/>
        <v>114.98681333333315</v>
      </c>
      <c r="U154" s="237"/>
      <c r="V154" s="519">
        <v>2033</v>
      </c>
      <c r="W154" s="234" t="s">
        <v>225</v>
      </c>
      <c r="X154" s="235">
        <f>X7-X8</f>
        <v>0</v>
      </c>
      <c r="Y154" s="235">
        <f>X154*$Y$7/12</f>
        <v>0</v>
      </c>
      <c r="Z154" s="235">
        <f t="shared" ref="Z154:Z165" si="33">$X$7/Y$8</f>
        <v>0</v>
      </c>
      <c r="AA154" s="247">
        <f t="shared" si="19"/>
        <v>0</v>
      </c>
      <c r="AB154" s="237"/>
      <c r="AC154" s="519">
        <v>2033</v>
      </c>
      <c r="AD154" s="234" t="s">
        <v>225</v>
      </c>
      <c r="AE154" s="235"/>
      <c r="AF154" s="235">
        <f>AE154*$Y$7/12</f>
        <v>0</v>
      </c>
      <c r="AG154" s="235"/>
      <c r="AH154" s="247">
        <f t="shared" si="20"/>
        <v>0</v>
      </c>
      <c r="AI154" s="237"/>
      <c r="AK154" s="240"/>
    </row>
    <row r="155" spans="1:37" x14ac:dyDescent="0.2">
      <c r="A155" s="514"/>
      <c r="B155" s="234" t="s">
        <v>226</v>
      </c>
      <c r="C155" s="235">
        <f t="shared" si="25"/>
        <v>2240.5069499999745</v>
      </c>
      <c r="D155" s="235">
        <f t="shared" si="21"/>
        <v>37.341782499999574</v>
      </c>
      <c r="E155" s="235">
        <f t="shared" si="22"/>
        <v>203.68244999999996</v>
      </c>
      <c r="F155" s="236">
        <f>D155+E155</f>
        <v>241.02423249999953</v>
      </c>
      <c r="G155" s="239"/>
      <c r="H155" s="512"/>
      <c r="I155" s="234" t="s">
        <v>226</v>
      </c>
      <c r="J155" s="235">
        <f t="shared" si="26"/>
        <v>195.84253333333572</v>
      </c>
      <c r="K155" s="235">
        <f t="shared" si="23"/>
        <v>3.2640422222222623</v>
      </c>
      <c r="L155" s="235">
        <f t="shared" si="24"/>
        <v>17.803866666666668</v>
      </c>
      <c r="M155" s="247">
        <f t="shared" si="32"/>
        <v>21.06790888888893</v>
      </c>
      <c r="N155" s="239"/>
      <c r="O155" s="520"/>
      <c r="P155" s="234" t="s">
        <v>226</v>
      </c>
      <c r="Q155" s="235">
        <f t="shared" si="30"/>
        <v>2515.3365416666556</v>
      </c>
      <c r="R155" s="235">
        <f t="shared" si="27"/>
        <v>41.922275694444259</v>
      </c>
      <c r="S155" s="235">
        <f t="shared" si="28"/>
        <v>71.866758333333323</v>
      </c>
      <c r="T155" s="247">
        <f t="shared" si="18"/>
        <v>113.78903402777757</v>
      </c>
      <c r="U155" s="238"/>
      <c r="V155" s="520"/>
      <c r="W155" s="234" t="s">
        <v>226</v>
      </c>
      <c r="X155" s="235">
        <f>X154-Z154</f>
        <v>0</v>
      </c>
      <c r="Y155" s="235">
        <f t="shared" ref="Y155:Y218" si="34">X155*$Y$7/12</f>
        <v>0</v>
      </c>
      <c r="Z155" s="235">
        <f t="shared" si="33"/>
        <v>0</v>
      </c>
      <c r="AA155" s="247">
        <f t="shared" si="19"/>
        <v>0</v>
      </c>
      <c r="AB155" s="238"/>
      <c r="AC155" s="520"/>
      <c r="AD155" s="234" t="s">
        <v>226</v>
      </c>
      <c r="AE155" s="235"/>
      <c r="AF155" s="235">
        <f t="shared" ref="AF155:AF218" si="35">AE155*$Y$7/12</f>
        <v>0</v>
      </c>
      <c r="AG155" s="235"/>
      <c r="AH155" s="247">
        <f t="shared" si="20"/>
        <v>0</v>
      </c>
      <c r="AI155" s="238"/>
      <c r="AK155" s="240"/>
    </row>
    <row r="156" spans="1:37" x14ac:dyDescent="0.2">
      <c r="A156" s="514"/>
      <c r="B156" s="234" t="s">
        <v>227</v>
      </c>
      <c r="C156" s="235">
        <f t="shared" si="25"/>
        <v>2036.8244999999745</v>
      </c>
      <c r="D156" s="235">
        <f t="shared" si="21"/>
        <v>33.947074999999579</v>
      </c>
      <c r="E156" s="235">
        <f t="shared" si="22"/>
        <v>203.68244999999996</v>
      </c>
      <c r="F156" s="236">
        <f>D156+E156</f>
        <v>237.62952499999955</v>
      </c>
      <c r="G156" s="239"/>
      <c r="H156" s="512"/>
      <c r="I156" s="234" t="s">
        <v>227</v>
      </c>
      <c r="J156" s="235">
        <f t="shared" si="26"/>
        <v>178.03866666666906</v>
      </c>
      <c r="K156" s="235">
        <f t="shared" si="23"/>
        <v>2.967311111111151</v>
      </c>
      <c r="L156" s="235">
        <f t="shared" si="24"/>
        <v>17.803866666666668</v>
      </c>
      <c r="M156" s="247">
        <f t="shared" si="32"/>
        <v>20.771177777777819</v>
      </c>
      <c r="N156" s="239"/>
      <c r="O156" s="520"/>
      <c r="P156" s="234" t="s">
        <v>227</v>
      </c>
      <c r="Q156" s="235">
        <f t="shared" si="30"/>
        <v>2443.4697833333225</v>
      </c>
      <c r="R156" s="235">
        <f t="shared" si="27"/>
        <v>40.72449638888871</v>
      </c>
      <c r="S156" s="235">
        <f t="shared" si="28"/>
        <v>71.866758333333323</v>
      </c>
      <c r="T156" s="247">
        <f t="shared" si="18"/>
        <v>112.59125472222203</v>
      </c>
      <c r="U156" s="238"/>
      <c r="V156" s="520"/>
      <c r="W156" s="234" t="s">
        <v>227</v>
      </c>
      <c r="X156" s="235">
        <f t="shared" ref="X156:X219" si="36">X155-Z155</f>
        <v>0</v>
      </c>
      <c r="Y156" s="235">
        <f t="shared" si="34"/>
        <v>0</v>
      </c>
      <c r="Z156" s="235">
        <f t="shared" si="33"/>
        <v>0</v>
      </c>
      <c r="AA156" s="247">
        <f t="shared" si="19"/>
        <v>0</v>
      </c>
      <c r="AB156" s="238"/>
      <c r="AC156" s="520"/>
      <c r="AD156" s="234" t="s">
        <v>227</v>
      </c>
      <c r="AE156" s="235"/>
      <c r="AF156" s="235">
        <f t="shared" si="35"/>
        <v>0</v>
      </c>
      <c r="AG156" s="235"/>
      <c r="AH156" s="247">
        <f t="shared" si="20"/>
        <v>0</v>
      </c>
      <c r="AI156" s="238"/>
      <c r="AK156" s="240"/>
    </row>
    <row r="157" spans="1:37" x14ac:dyDescent="0.2">
      <c r="A157" s="514"/>
      <c r="B157" s="234" t="s">
        <v>228</v>
      </c>
      <c r="C157" s="235">
        <f t="shared" si="25"/>
        <v>1833.1420499999745</v>
      </c>
      <c r="D157" s="235">
        <f t="shared" si="21"/>
        <v>30.552367499999576</v>
      </c>
      <c r="E157" s="235">
        <f t="shared" si="22"/>
        <v>203.68244999999996</v>
      </c>
      <c r="F157" s="236">
        <f t="shared" ref="F157:F163" si="37">D157+E157</f>
        <v>234.23481749999954</v>
      </c>
      <c r="G157" s="239"/>
      <c r="H157" s="512"/>
      <c r="I157" s="234" t="s">
        <v>228</v>
      </c>
      <c r="J157" s="235">
        <f t="shared" si="26"/>
        <v>160.23480000000239</v>
      </c>
      <c r="K157" s="235">
        <f t="shared" si="23"/>
        <v>2.6705800000000401</v>
      </c>
      <c r="L157" s="235">
        <f t="shared" si="24"/>
        <v>17.803866666666668</v>
      </c>
      <c r="M157" s="247">
        <f t="shared" si="32"/>
        <v>20.474446666666708</v>
      </c>
      <c r="N157" s="239"/>
      <c r="O157" s="520"/>
      <c r="P157" s="234" t="s">
        <v>228</v>
      </c>
      <c r="Q157" s="235">
        <f t="shared" si="30"/>
        <v>2371.6030249999894</v>
      </c>
      <c r="R157" s="235">
        <f t="shared" si="27"/>
        <v>39.52671708333316</v>
      </c>
      <c r="S157" s="235">
        <f t="shared" si="28"/>
        <v>71.866758333333323</v>
      </c>
      <c r="T157" s="247">
        <f t="shared" si="18"/>
        <v>111.39347541666649</v>
      </c>
      <c r="U157" s="238"/>
      <c r="V157" s="520"/>
      <c r="W157" s="234" t="s">
        <v>228</v>
      </c>
      <c r="X157" s="235">
        <f t="shared" si="36"/>
        <v>0</v>
      </c>
      <c r="Y157" s="235">
        <f t="shared" si="34"/>
        <v>0</v>
      </c>
      <c r="Z157" s="235">
        <f t="shared" si="33"/>
        <v>0</v>
      </c>
      <c r="AA157" s="247">
        <f t="shared" si="19"/>
        <v>0</v>
      </c>
      <c r="AB157" s="238"/>
      <c r="AC157" s="520"/>
      <c r="AD157" s="234" t="s">
        <v>228</v>
      </c>
      <c r="AE157" s="235"/>
      <c r="AF157" s="235">
        <f t="shared" si="35"/>
        <v>0</v>
      </c>
      <c r="AG157" s="235"/>
      <c r="AH157" s="247">
        <f t="shared" si="20"/>
        <v>0</v>
      </c>
      <c r="AI157" s="238"/>
      <c r="AK157" s="240"/>
    </row>
    <row r="158" spans="1:37" x14ac:dyDescent="0.2">
      <c r="A158" s="514"/>
      <c r="B158" s="234" t="s">
        <v>229</v>
      </c>
      <c r="C158" s="235">
        <f t="shared" si="25"/>
        <v>1629.4595999999744</v>
      </c>
      <c r="D158" s="235">
        <f t="shared" si="21"/>
        <v>27.157659999999577</v>
      </c>
      <c r="E158" s="235">
        <f t="shared" si="22"/>
        <v>203.68244999999996</v>
      </c>
      <c r="F158" s="236">
        <f t="shared" si="37"/>
        <v>230.84010999999953</v>
      </c>
      <c r="G158" s="239"/>
      <c r="H158" s="512"/>
      <c r="I158" s="234" t="s">
        <v>229</v>
      </c>
      <c r="J158" s="235">
        <f t="shared" si="26"/>
        <v>142.43093333333573</v>
      </c>
      <c r="K158" s="235">
        <f t="shared" si="23"/>
        <v>2.3738488888889289</v>
      </c>
      <c r="L158" s="235">
        <f t="shared" si="24"/>
        <v>17.803866666666668</v>
      </c>
      <c r="M158" s="247">
        <f t="shared" si="32"/>
        <v>20.177715555555597</v>
      </c>
      <c r="N158" s="239"/>
      <c r="O158" s="520"/>
      <c r="P158" s="234" t="s">
        <v>229</v>
      </c>
      <c r="Q158" s="235">
        <f t="shared" si="30"/>
        <v>2299.7362666666563</v>
      </c>
      <c r="R158" s="235">
        <f t="shared" si="27"/>
        <v>38.328937777777604</v>
      </c>
      <c r="S158" s="235">
        <f t="shared" si="28"/>
        <v>71.866758333333323</v>
      </c>
      <c r="T158" s="247">
        <f t="shared" si="18"/>
        <v>110.19569611111092</v>
      </c>
      <c r="U158" s="238"/>
      <c r="V158" s="520"/>
      <c r="W158" s="234" t="s">
        <v>229</v>
      </c>
      <c r="X158" s="235">
        <f t="shared" si="36"/>
        <v>0</v>
      </c>
      <c r="Y158" s="235">
        <f t="shared" si="34"/>
        <v>0</v>
      </c>
      <c r="Z158" s="235">
        <f t="shared" si="33"/>
        <v>0</v>
      </c>
      <c r="AA158" s="247">
        <f t="shared" si="19"/>
        <v>0</v>
      </c>
      <c r="AB158" s="238"/>
      <c r="AC158" s="520"/>
      <c r="AD158" s="234" t="s">
        <v>229</v>
      </c>
      <c r="AE158" s="235"/>
      <c r="AF158" s="235">
        <f t="shared" si="35"/>
        <v>0</v>
      </c>
      <c r="AG158" s="235"/>
      <c r="AH158" s="247">
        <f t="shared" si="20"/>
        <v>0</v>
      </c>
      <c r="AI158" s="238"/>
      <c r="AK158" s="240"/>
    </row>
    <row r="159" spans="1:37" x14ac:dyDescent="0.2">
      <c r="A159" s="514"/>
      <c r="B159" s="234" t="s">
        <v>230</v>
      </c>
      <c r="C159" s="235">
        <f t="shared" si="25"/>
        <v>1425.7771499999744</v>
      </c>
      <c r="D159" s="235">
        <f t="shared" si="21"/>
        <v>23.762952499999574</v>
      </c>
      <c r="E159" s="235">
        <f t="shared" si="22"/>
        <v>203.68244999999996</v>
      </c>
      <c r="F159" s="236">
        <f t="shared" si="37"/>
        <v>227.44540249999955</v>
      </c>
      <c r="G159" s="239"/>
      <c r="H159" s="512"/>
      <c r="I159" s="234" t="s">
        <v>230</v>
      </c>
      <c r="J159" s="235">
        <f t="shared" si="26"/>
        <v>124.62706666666907</v>
      </c>
      <c r="K159" s="235">
        <f t="shared" si="23"/>
        <v>2.077117777777818</v>
      </c>
      <c r="L159" s="235">
        <f t="shared" si="24"/>
        <v>17.803866666666668</v>
      </c>
      <c r="M159" s="247">
        <f t="shared" si="32"/>
        <v>19.880984444444486</v>
      </c>
      <c r="N159" s="239"/>
      <c r="O159" s="520"/>
      <c r="P159" s="234" t="s">
        <v>230</v>
      </c>
      <c r="Q159" s="235">
        <f t="shared" si="30"/>
        <v>2227.8695083333232</v>
      </c>
      <c r="R159" s="235">
        <f t="shared" si="27"/>
        <v>37.131158472222054</v>
      </c>
      <c r="S159" s="235">
        <f t="shared" si="28"/>
        <v>71.866758333333323</v>
      </c>
      <c r="T159" s="247">
        <f t="shared" si="18"/>
        <v>108.99791680555538</v>
      </c>
      <c r="U159" s="238"/>
      <c r="V159" s="520"/>
      <c r="W159" s="234" t="s">
        <v>230</v>
      </c>
      <c r="X159" s="235">
        <f t="shared" si="36"/>
        <v>0</v>
      </c>
      <c r="Y159" s="235">
        <f t="shared" si="34"/>
        <v>0</v>
      </c>
      <c r="Z159" s="235">
        <f t="shared" si="33"/>
        <v>0</v>
      </c>
      <c r="AA159" s="247">
        <f t="shared" si="19"/>
        <v>0</v>
      </c>
      <c r="AB159" s="238"/>
      <c r="AC159" s="520"/>
      <c r="AD159" s="234" t="s">
        <v>230</v>
      </c>
      <c r="AE159" s="235"/>
      <c r="AF159" s="235">
        <f t="shared" si="35"/>
        <v>0</v>
      </c>
      <c r="AG159" s="235"/>
      <c r="AH159" s="247">
        <f t="shared" si="20"/>
        <v>0</v>
      </c>
      <c r="AI159" s="238"/>
      <c r="AK159" s="240"/>
    </row>
    <row r="160" spans="1:37" x14ac:dyDescent="0.2">
      <c r="A160" s="514"/>
      <c r="B160" s="234" t="s">
        <v>231</v>
      </c>
      <c r="C160" s="235">
        <f t="shared" si="25"/>
        <v>1222.0946999999744</v>
      </c>
      <c r="D160" s="235">
        <f t="shared" si="21"/>
        <v>20.368244999999575</v>
      </c>
      <c r="E160" s="235">
        <f t="shared" si="22"/>
        <v>203.68244999999996</v>
      </c>
      <c r="F160" s="236">
        <f t="shared" si="37"/>
        <v>224.05069499999954</v>
      </c>
      <c r="G160" s="239"/>
      <c r="H160" s="512"/>
      <c r="I160" s="234" t="s">
        <v>231</v>
      </c>
      <c r="J160" s="235">
        <f t="shared" si="26"/>
        <v>106.8232000000024</v>
      </c>
      <c r="K160" s="235">
        <f t="shared" si="23"/>
        <v>1.7803866666667068</v>
      </c>
      <c r="L160" s="235">
        <f t="shared" si="24"/>
        <v>17.803866666666668</v>
      </c>
      <c r="M160" s="247">
        <f t="shared" si="32"/>
        <v>19.584253333333375</v>
      </c>
      <c r="N160" s="239"/>
      <c r="O160" s="520"/>
      <c r="P160" s="234" t="s">
        <v>231</v>
      </c>
      <c r="Q160" s="235">
        <f t="shared" si="30"/>
        <v>2156.0027499999901</v>
      </c>
      <c r="R160" s="235">
        <f t="shared" si="27"/>
        <v>35.933379166666505</v>
      </c>
      <c r="S160" s="235">
        <f t="shared" si="28"/>
        <v>71.866758333333323</v>
      </c>
      <c r="T160" s="247">
        <f t="shared" si="18"/>
        <v>107.80013749999983</v>
      </c>
      <c r="U160" s="238"/>
      <c r="V160" s="520"/>
      <c r="W160" s="234" t="s">
        <v>231</v>
      </c>
      <c r="X160" s="235">
        <f t="shared" si="36"/>
        <v>0</v>
      </c>
      <c r="Y160" s="235">
        <f t="shared" si="34"/>
        <v>0</v>
      </c>
      <c r="Z160" s="235">
        <f t="shared" si="33"/>
        <v>0</v>
      </c>
      <c r="AA160" s="247">
        <f t="shared" si="19"/>
        <v>0</v>
      </c>
      <c r="AB160" s="238"/>
      <c r="AC160" s="520"/>
      <c r="AD160" s="234" t="s">
        <v>231</v>
      </c>
      <c r="AE160" s="235"/>
      <c r="AF160" s="235">
        <f t="shared" si="35"/>
        <v>0</v>
      </c>
      <c r="AG160" s="235"/>
      <c r="AH160" s="247">
        <f t="shared" si="20"/>
        <v>0</v>
      </c>
      <c r="AI160" s="238"/>
      <c r="AK160" s="240"/>
    </row>
    <row r="161" spans="1:37" x14ac:dyDescent="0.2">
      <c r="A161" s="514"/>
      <c r="B161" s="234" t="s">
        <v>232</v>
      </c>
      <c r="C161" s="235">
        <f t="shared" si="25"/>
        <v>1018.4122499999744</v>
      </c>
      <c r="D161" s="235">
        <f t="shared" si="21"/>
        <v>16.973537499999576</v>
      </c>
      <c r="E161" s="235">
        <f t="shared" si="22"/>
        <v>203.68244999999996</v>
      </c>
      <c r="F161" s="236">
        <f t="shared" si="37"/>
        <v>220.65598749999953</v>
      </c>
      <c r="G161" s="239"/>
      <c r="H161" s="512"/>
      <c r="I161" s="234" t="s">
        <v>232</v>
      </c>
      <c r="J161" s="235">
        <f t="shared" si="26"/>
        <v>89.019333333335737</v>
      </c>
      <c r="K161" s="235">
        <f t="shared" si="23"/>
        <v>1.4836555555555957</v>
      </c>
      <c r="L161" s="235">
        <f t="shared" si="24"/>
        <v>17.803866666666668</v>
      </c>
      <c r="M161" s="247">
        <f t="shared" si="32"/>
        <v>19.287522222222265</v>
      </c>
      <c r="N161" s="239"/>
      <c r="O161" s="520"/>
      <c r="P161" s="234" t="s">
        <v>232</v>
      </c>
      <c r="Q161" s="235">
        <f t="shared" si="30"/>
        <v>2084.135991666657</v>
      </c>
      <c r="R161" s="235">
        <f t="shared" si="27"/>
        <v>34.735599861110948</v>
      </c>
      <c r="S161" s="235">
        <f t="shared" si="28"/>
        <v>71.866758333333323</v>
      </c>
      <c r="T161" s="247">
        <f t="shared" si="18"/>
        <v>106.60235819444426</v>
      </c>
      <c r="U161" s="238"/>
      <c r="V161" s="520"/>
      <c r="W161" s="234" t="s">
        <v>232</v>
      </c>
      <c r="X161" s="235">
        <f t="shared" si="36"/>
        <v>0</v>
      </c>
      <c r="Y161" s="235">
        <f t="shared" si="34"/>
        <v>0</v>
      </c>
      <c r="Z161" s="235">
        <f t="shared" si="33"/>
        <v>0</v>
      </c>
      <c r="AA161" s="247">
        <f t="shared" si="19"/>
        <v>0</v>
      </c>
      <c r="AB161" s="238"/>
      <c r="AC161" s="520"/>
      <c r="AD161" s="234" t="s">
        <v>232</v>
      </c>
      <c r="AE161" s="235"/>
      <c r="AF161" s="235">
        <f t="shared" si="35"/>
        <v>0</v>
      </c>
      <c r="AG161" s="235"/>
      <c r="AH161" s="247">
        <f t="shared" si="20"/>
        <v>0</v>
      </c>
      <c r="AI161" s="238"/>
      <c r="AK161" s="240"/>
    </row>
    <row r="162" spans="1:37" x14ac:dyDescent="0.2">
      <c r="A162" s="514"/>
      <c r="B162" s="234" t="s">
        <v>233</v>
      </c>
      <c r="C162" s="235">
        <f t="shared" si="25"/>
        <v>814.72979999997438</v>
      </c>
      <c r="D162" s="235">
        <f t="shared" si="21"/>
        <v>13.578829999999575</v>
      </c>
      <c r="E162" s="235">
        <f t="shared" si="22"/>
        <v>203.68244999999996</v>
      </c>
      <c r="F162" s="236">
        <f t="shared" si="37"/>
        <v>217.26127999999954</v>
      </c>
      <c r="G162" s="239"/>
      <c r="H162" s="512"/>
      <c r="I162" s="234" t="s">
        <v>233</v>
      </c>
      <c r="J162" s="235">
        <f t="shared" si="26"/>
        <v>71.215466666669073</v>
      </c>
      <c r="K162" s="235">
        <f t="shared" si="23"/>
        <v>1.1869244444444846</v>
      </c>
      <c r="L162" s="235">
        <f t="shared" si="24"/>
        <v>17.803866666666668</v>
      </c>
      <c r="M162" s="247">
        <f t="shared" si="32"/>
        <v>18.990791111111154</v>
      </c>
      <c r="N162" s="239"/>
      <c r="O162" s="520"/>
      <c r="P162" s="234" t="s">
        <v>233</v>
      </c>
      <c r="Q162" s="235">
        <f t="shared" si="30"/>
        <v>2012.2692333333237</v>
      </c>
      <c r="R162" s="235">
        <f t="shared" si="27"/>
        <v>33.537820555555392</v>
      </c>
      <c r="S162" s="235">
        <f t="shared" si="28"/>
        <v>71.866758333333323</v>
      </c>
      <c r="T162" s="247">
        <f t="shared" si="18"/>
        <v>105.40457888888872</v>
      </c>
      <c r="U162" s="238"/>
      <c r="V162" s="520"/>
      <c r="W162" s="234" t="s">
        <v>233</v>
      </c>
      <c r="X162" s="235">
        <f t="shared" si="36"/>
        <v>0</v>
      </c>
      <c r="Y162" s="235">
        <f t="shared" si="34"/>
        <v>0</v>
      </c>
      <c r="Z162" s="235">
        <f t="shared" si="33"/>
        <v>0</v>
      </c>
      <c r="AA162" s="247">
        <f t="shared" si="19"/>
        <v>0</v>
      </c>
      <c r="AB162" s="238"/>
      <c r="AC162" s="520"/>
      <c r="AD162" s="234" t="s">
        <v>233</v>
      </c>
      <c r="AE162" s="235"/>
      <c r="AF162" s="235">
        <f t="shared" si="35"/>
        <v>0</v>
      </c>
      <c r="AG162" s="235"/>
      <c r="AH162" s="247">
        <f t="shared" si="20"/>
        <v>0</v>
      </c>
      <c r="AI162" s="238"/>
      <c r="AK162" s="240"/>
    </row>
    <row r="163" spans="1:37" x14ac:dyDescent="0.2">
      <c r="A163" s="514"/>
      <c r="B163" s="234" t="s">
        <v>234</v>
      </c>
      <c r="C163" s="235">
        <f t="shared" si="25"/>
        <v>611.04734999997436</v>
      </c>
      <c r="D163" s="235">
        <f t="shared" si="21"/>
        <v>10.184122499999573</v>
      </c>
      <c r="E163" s="235">
        <f t="shared" si="22"/>
        <v>203.68244999999996</v>
      </c>
      <c r="F163" s="236">
        <f t="shared" si="37"/>
        <v>213.86657249999953</v>
      </c>
      <c r="G163" s="239"/>
      <c r="H163" s="512"/>
      <c r="I163" s="234" t="s">
        <v>234</v>
      </c>
      <c r="J163" s="235">
        <f t="shared" si="26"/>
        <v>53.411600000002409</v>
      </c>
      <c r="K163" s="235">
        <f t="shared" si="23"/>
        <v>0.89019333333337347</v>
      </c>
      <c r="L163" s="235">
        <f t="shared" si="24"/>
        <v>17.803866666666668</v>
      </c>
      <c r="M163" s="247">
        <f t="shared" si="32"/>
        <v>18.694060000000043</v>
      </c>
      <c r="N163" s="239"/>
      <c r="O163" s="520"/>
      <c r="P163" s="234" t="s">
        <v>234</v>
      </c>
      <c r="Q163" s="235">
        <f t="shared" si="30"/>
        <v>1940.4024749999903</v>
      </c>
      <c r="R163" s="235">
        <f t="shared" si="27"/>
        <v>32.340041249999842</v>
      </c>
      <c r="S163" s="235">
        <f t="shared" si="28"/>
        <v>71.866758333333323</v>
      </c>
      <c r="T163" s="247">
        <f t="shared" si="18"/>
        <v>104.20679958333317</v>
      </c>
      <c r="U163" s="238"/>
      <c r="V163" s="520"/>
      <c r="W163" s="234" t="s">
        <v>234</v>
      </c>
      <c r="X163" s="235">
        <f t="shared" si="36"/>
        <v>0</v>
      </c>
      <c r="Y163" s="235">
        <f t="shared" si="34"/>
        <v>0</v>
      </c>
      <c r="Z163" s="235">
        <f t="shared" si="33"/>
        <v>0</v>
      </c>
      <c r="AA163" s="247">
        <f t="shared" si="19"/>
        <v>0</v>
      </c>
      <c r="AB163" s="238"/>
      <c r="AC163" s="520"/>
      <c r="AD163" s="234" t="s">
        <v>234</v>
      </c>
      <c r="AE163" s="235"/>
      <c r="AF163" s="235">
        <f t="shared" si="35"/>
        <v>0</v>
      </c>
      <c r="AG163" s="235"/>
      <c r="AH163" s="247">
        <f t="shared" si="20"/>
        <v>0</v>
      </c>
      <c r="AI163" s="238"/>
      <c r="AK163" s="240"/>
    </row>
    <row r="164" spans="1:37" x14ac:dyDescent="0.2">
      <c r="A164" s="514"/>
      <c r="B164" s="234" t="s">
        <v>235</v>
      </c>
      <c r="C164" s="235">
        <f t="shared" si="25"/>
        <v>407.3648999999744</v>
      </c>
      <c r="D164" s="235">
        <f t="shared" si="21"/>
        <v>6.7894149999995745</v>
      </c>
      <c r="E164" s="235">
        <f t="shared" si="22"/>
        <v>203.68244999999996</v>
      </c>
      <c r="F164" s="236">
        <f>D164+E164</f>
        <v>210.47186499999953</v>
      </c>
      <c r="G164" s="239"/>
      <c r="H164" s="512"/>
      <c r="I164" s="234" t="s">
        <v>235</v>
      </c>
      <c r="J164" s="235">
        <f t="shared" si="26"/>
        <v>35.607733333335744</v>
      </c>
      <c r="K164" s="235">
        <f t="shared" si="23"/>
        <v>0.59346222222226241</v>
      </c>
      <c r="L164" s="235">
        <f t="shared" si="24"/>
        <v>17.803866666666668</v>
      </c>
      <c r="M164" s="247">
        <f t="shared" si="32"/>
        <v>18.397328888888929</v>
      </c>
      <c r="N164" s="239"/>
      <c r="O164" s="520"/>
      <c r="P164" s="234" t="s">
        <v>235</v>
      </c>
      <c r="Q164" s="235">
        <f t="shared" si="30"/>
        <v>1868.535716666657</v>
      </c>
      <c r="R164" s="235">
        <f t="shared" si="27"/>
        <v>31.142261944444286</v>
      </c>
      <c r="S164" s="235">
        <f t="shared" si="28"/>
        <v>71.866758333333323</v>
      </c>
      <c r="T164" s="247">
        <f t="shared" ref="T164:T201" si="38">R164+S164</f>
        <v>103.00902027777761</v>
      </c>
      <c r="U164" s="238"/>
      <c r="V164" s="520"/>
      <c r="W164" s="234" t="s">
        <v>235</v>
      </c>
      <c r="X164" s="235">
        <f t="shared" si="36"/>
        <v>0</v>
      </c>
      <c r="Y164" s="235">
        <f t="shared" si="34"/>
        <v>0</v>
      </c>
      <c r="Z164" s="235">
        <f t="shared" si="33"/>
        <v>0</v>
      </c>
      <c r="AA164" s="247">
        <f t="shared" ref="AA164:AA227" si="39">Y164+Z164</f>
        <v>0</v>
      </c>
      <c r="AB164" s="238"/>
      <c r="AC164" s="520"/>
      <c r="AD164" s="234" t="s">
        <v>235</v>
      </c>
      <c r="AE164" s="235"/>
      <c r="AF164" s="235">
        <f t="shared" si="35"/>
        <v>0</v>
      </c>
      <c r="AG164" s="235"/>
      <c r="AH164" s="247">
        <f t="shared" ref="AH164:AH227" si="40">AF164+AG164</f>
        <v>0</v>
      </c>
      <c r="AI164" s="238"/>
      <c r="AK164" s="240"/>
    </row>
    <row r="165" spans="1:37" x14ac:dyDescent="0.2">
      <c r="A165" s="515"/>
      <c r="B165" s="234" t="s">
        <v>236</v>
      </c>
      <c r="C165" s="235">
        <f t="shared" si="25"/>
        <v>203.68244999997444</v>
      </c>
      <c r="D165" s="235">
        <f t="shared" si="21"/>
        <v>3.3947074999995741</v>
      </c>
      <c r="E165" s="235">
        <f t="shared" si="22"/>
        <v>203.68244999999996</v>
      </c>
      <c r="F165" s="236">
        <f>D165+E165</f>
        <v>207.07715749999954</v>
      </c>
      <c r="G165" s="239">
        <f>SUM(D154:D165)</f>
        <v>264.78718499999491</v>
      </c>
      <c r="H165" s="512"/>
      <c r="I165" s="234" t="s">
        <v>236</v>
      </c>
      <c r="J165" s="235">
        <f t="shared" si="26"/>
        <v>17.803866666669077</v>
      </c>
      <c r="K165" s="235">
        <f t="shared" si="23"/>
        <v>0.2967311111111513</v>
      </c>
      <c r="L165" s="235">
        <f t="shared" si="24"/>
        <v>17.803866666666668</v>
      </c>
      <c r="M165" s="247">
        <f t="shared" si="32"/>
        <v>18.100597777777818</v>
      </c>
      <c r="N165" s="239">
        <f>SUM(K154:K165)</f>
        <v>23.14502666666715</v>
      </c>
      <c r="O165" s="521"/>
      <c r="P165" s="234" t="s">
        <v>236</v>
      </c>
      <c r="Q165" s="235">
        <f t="shared" si="30"/>
        <v>1796.6689583333236</v>
      </c>
      <c r="R165" s="235">
        <f t="shared" si="27"/>
        <v>29.944482638888729</v>
      </c>
      <c r="S165" s="235">
        <f t="shared" si="28"/>
        <v>71.866758333333323</v>
      </c>
      <c r="T165" s="247">
        <f t="shared" si="38"/>
        <v>101.81124097222205</v>
      </c>
      <c r="U165" s="238">
        <f>SUM(R154:R165)</f>
        <v>438.38722583333129</v>
      </c>
      <c r="V165" s="521"/>
      <c r="W165" s="234" t="s">
        <v>236</v>
      </c>
      <c r="X165" s="235">
        <f t="shared" si="36"/>
        <v>0</v>
      </c>
      <c r="Y165" s="235">
        <f t="shared" si="34"/>
        <v>0</v>
      </c>
      <c r="Z165" s="235">
        <f t="shared" si="33"/>
        <v>0</v>
      </c>
      <c r="AA165" s="247">
        <f t="shared" si="39"/>
        <v>0</v>
      </c>
      <c r="AB165" s="238">
        <f>SUM(Y154:Y165)</f>
        <v>0</v>
      </c>
      <c r="AC165" s="521"/>
      <c r="AD165" s="234" t="s">
        <v>236</v>
      </c>
      <c r="AE165" s="235"/>
      <c r="AF165" s="235">
        <f t="shared" si="35"/>
        <v>0</v>
      </c>
      <c r="AG165" s="235"/>
      <c r="AH165" s="247">
        <f t="shared" si="40"/>
        <v>0</v>
      </c>
      <c r="AI165" s="238">
        <f>SUM(AF154:AF165)</f>
        <v>0</v>
      </c>
      <c r="AJ165" s="208">
        <f>O154</f>
        <v>2034</v>
      </c>
      <c r="AK165" s="240">
        <f>G165+N165+U165+AB165+AI165</f>
        <v>726.31943749999334</v>
      </c>
    </row>
    <row r="166" spans="1:37" x14ac:dyDescent="0.2">
      <c r="A166" s="248"/>
      <c r="B166" s="234"/>
      <c r="C166" s="235"/>
      <c r="D166" s="235"/>
      <c r="E166" s="235"/>
      <c r="F166" s="236"/>
      <c r="G166" s="239"/>
      <c r="H166" s="248"/>
      <c r="I166" s="234"/>
      <c r="J166" s="235"/>
      <c r="K166" s="235"/>
      <c r="L166" s="235"/>
      <c r="M166" s="247"/>
      <c r="N166" s="239"/>
      <c r="O166" s="519">
        <f>O154+1</f>
        <v>2035</v>
      </c>
      <c r="P166" s="234" t="s">
        <v>225</v>
      </c>
      <c r="Q166" s="235">
        <f t="shared" si="30"/>
        <v>1724.8021999999903</v>
      </c>
      <c r="R166" s="235">
        <f t="shared" si="27"/>
        <v>28.746703333333173</v>
      </c>
      <c r="S166" s="235">
        <f t="shared" si="28"/>
        <v>71.866758333333323</v>
      </c>
      <c r="T166" s="247">
        <f t="shared" si="38"/>
        <v>100.6134616666665</v>
      </c>
      <c r="U166" s="237"/>
      <c r="V166" s="519">
        <v>2034</v>
      </c>
      <c r="W166" s="234" t="s">
        <v>225</v>
      </c>
      <c r="X166" s="235">
        <f t="shared" si="36"/>
        <v>0</v>
      </c>
      <c r="Y166" s="235">
        <f t="shared" si="34"/>
        <v>0</v>
      </c>
      <c r="Z166" s="235">
        <f>$X$7/Y$8</f>
        <v>0</v>
      </c>
      <c r="AA166" s="247">
        <f t="shared" si="39"/>
        <v>0</v>
      </c>
      <c r="AB166" s="237"/>
      <c r="AC166" s="519">
        <v>2034</v>
      </c>
      <c r="AD166" s="234" t="s">
        <v>225</v>
      </c>
      <c r="AE166" s="235"/>
      <c r="AF166" s="235">
        <f t="shared" si="35"/>
        <v>0</v>
      </c>
      <c r="AG166" s="235"/>
      <c r="AH166" s="247">
        <f t="shared" si="40"/>
        <v>0</v>
      </c>
      <c r="AI166" s="237"/>
      <c r="AK166" s="240"/>
    </row>
    <row r="167" spans="1:37" x14ac:dyDescent="0.2">
      <c r="A167" s="248"/>
      <c r="B167" s="234"/>
      <c r="C167" s="235"/>
      <c r="D167" s="235"/>
      <c r="E167" s="235"/>
      <c r="F167" s="236"/>
      <c r="G167" s="239"/>
      <c r="H167" s="248"/>
      <c r="I167" s="234"/>
      <c r="J167" s="235"/>
      <c r="K167" s="235"/>
      <c r="L167" s="235"/>
      <c r="M167" s="236"/>
      <c r="N167" s="239"/>
      <c r="O167" s="520"/>
      <c r="P167" s="234" t="s">
        <v>226</v>
      </c>
      <c r="Q167" s="235">
        <f t="shared" si="30"/>
        <v>1652.935441666657</v>
      </c>
      <c r="R167" s="235">
        <f t="shared" si="27"/>
        <v>27.548924027777616</v>
      </c>
      <c r="S167" s="235">
        <f t="shared" si="28"/>
        <v>71.866758333333323</v>
      </c>
      <c r="T167" s="247">
        <f t="shared" si="38"/>
        <v>99.415682361110939</v>
      </c>
      <c r="U167" s="238"/>
      <c r="V167" s="520"/>
      <c r="W167" s="234" t="s">
        <v>226</v>
      </c>
      <c r="X167" s="235">
        <f t="shared" si="36"/>
        <v>0</v>
      </c>
      <c r="Y167" s="235">
        <f t="shared" si="34"/>
        <v>0</v>
      </c>
      <c r="Z167" s="235">
        <f t="shared" ref="Z167:Z230" si="41">$X$7/120</f>
        <v>0</v>
      </c>
      <c r="AA167" s="247">
        <f t="shared" si="39"/>
        <v>0</v>
      </c>
      <c r="AB167" s="238"/>
      <c r="AC167" s="520"/>
      <c r="AD167" s="234" t="s">
        <v>226</v>
      </c>
      <c r="AE167" s="235"/>
      <c r="AF167" s="235">
        <f t="shared" si="35"/>
        <v>0</v>
      </c>
      <c r="AG167" s="235"/>
      <c r="AH167" s="247">
        <f t="shared" si="40"/>
        <v>0</v>
      </c>
      <c r="AI167" s="238"/>
      <c r="AK167" s="240"/>
    </row>
    <row r="168" spans="1:37" x14ac:dyDescent="0.2">
      <c r="A168" s="248"/>
      <c r="B168" s="234"/>
      <c r="C168" s="235"/>
      <c r="D168" s="235"/>
      <c r="E168" s="235"/>
      <c r="F168" s="236"/>
      <c r="G168" s="239"/>
      <c r="H168" s="248"/>
      <c r="I168" s="234"/>
      <c r="J168" s="235"/>
      <c r="K168" s="235"/>
      <c r="L168" s="235"/>
      <c r="M168" s="236"/>
      <c r="N168" s="239"/>
      <c r="O168" s="520"/>
      <c r="P168" s="234" t="s">
        <v>227</v>
      </c>
      <c r="Q168" s="235">
        <f t="shared" si="30"/>
        <v>1581.0686833333236</v>
      </c>
      <c r="R168" s="235">
        <f t="shared" si="27"/>
        <v>26.351144722222063</v>
      </c>
      <c r="S168" s="235">
        <f t="shared" si="28"/>
        <v>71.866758333333323</v>
      </c>
      <c r="T168" s="247">
        <f t="shared" si="38"/>
        <v>98.217903055555382</v>
      </c>
      <c r="U168" s="238"/>
      <c r="V168" s="520"/>
      <c r="W168" s="234" t="s">
        <v>227</v>
      </c>
      <c r="X168" s="235">
        <f t="shared" si="36"/>
        <v>0</v>
      </c>
      <c r="Y168" s="235">
        <f t="shared" si="34"/>
        <v>0</v>
      </c>
      <c r="Z168" s="235">
        <f t="shared" si="41"/>
        <v>0</v>
      </c>
      <c r="AA168" s="247">
        <f t="shared" si="39"/>
        <v>0</v>
      </c>
      <c r="AB168" s="238"/>
      <c r="AC168" s="520"/>
      <c r="AD168" s="234" t="s">
        <v>227</v>
      </c>
      <c r="AE168" s="235"/>
      <c r="AF168" s="235">
        <f t="shared" si="35"/>
        <v>0</v>
      </c>
      <c r="AG168" s="235"/>
      <c r="AH168" s="247">
        <f t="shared" si="40"/>
        <v>0</v>
      </c>
      <c r="AI168" s="238"/>
      <c r="AK168" s="240"/>
    </row>
    <row r="169" spans="1:37" x14ac:dyDescent="0.2">
      <c r="A169" s="248"/>
      <c r="B169" s="234"/>
      <c r="C169" s="235"/>
      <c r="D169" s="235"/>
      <c r="E169" s="235"/>
      <c r="F169" s="236"/>
      <c r="G169" s="239"/>
      <c r="H169" s="248"/>
      <c r="I169" s="234"/>
      <c r="J169" s="235"/>
      <c r="K169" s="235"/>
      <c r="L169" s="235"/>
      <c r="M169" s="236"/>
      <c r="N169" s="239"/>
      <c r="O169" s="520"/>
      <c r="P169" s="234" t="s">
        <v>228</v>
      </c>
      <c r="Q169" s="235">
        <f t="shared" si="30"/>
        <v>1509.2019249999903</v>
      </c>
      <c r="R169" s="235">
        <f t="shared" si="27"/>
        <v>25.153365416666507</v>
      </c>
      <c r="S169" s="235">
        <f t="shared" si="28"/>
        <v>71.866758333333323</v>
      </c>
      <c r="T169" s="247">
        <f t="shared" si="38"/>
        <v>97.020123749999826</v>
      </c>
      <c r="U169" s="238"/>
      <c r="V169" s="520"/>
      <c r="W169" s="234" t="s">
        <v>228</v>
      </c>
      <c r="X169" s="235">
        <f t="shared" si="36"/>
        <v>0</v>
      </c>
      <c r="Y169" s="235">
        <f t="shared" si="34"/>
        <v>0</v>
      </c>
      <c r="Z169" s="235">
        <f t="shared" si="41"/>
        <v>0</v>
      </c>
      <c r="AA169" s="247">
        <f t="shared" si="39"/>
        <v>0</v>
      </c>
      <c r="AB169" s="238"/>
      <c r="AC169" s="520"/>
      <c r="AD169" s="234" t="s">
        <v>228</v>
      </c>
      <c r="AE169" s="235"/>
      <c r="AF169" s="235">
        <f t="shared" si="35"/>
        <v>0</v>
      </c>
      <c r="AG169" s="235"/>
      <c r="AH169" s="247">
        <f t="shared" si="40"/>
        <v>0</v>
      </c>
      <c r="AI169" s="238"/>
      <c r="AK169" s="240"/>
    </row>
    <row r="170" spans="1:37" x14ac:dyDescent="0.2">
      <c r="A170" s="248"/>
      <c r="B170" s="234"/>
      <c r="C170" s="235"/>
      <c r="D170" s="235"/>
      <c r="E170" s="235"/>
      <c r="F170" s="236"/>
      <c r="G170" s="239"/>
      <c r="H170" s="248"/>
      <c r="I170" s="234"/>
      <c r="J170" s="235"/>
      <c r="K170" s="235"/>
      <c r="L170" s="235"/>
      <c r="M170" s="236"/>
      <c r="N170" s="239"/>
      <c r="O170" s="520"/>
      <c r="P170" s="234" t="s">
        <v>229</v>
      </c>
      <c r="Q170" s="235">
        <f t="shared" si="30"/>
        <v>1437.335166666657</v>
      </c>
      <c r="R170" s="235">
        <f t="shared" si="27"/>
        <v>23.95558611111095</v>
      </c>
      <c r="S170" s="235">
        <f t="shared" si="28"/>
        <v>71.866758333333323</v>
      </c>
      <c r="T170" s="247">
        <f t="shared" si="38"/>
        <v>95.822344444444269</v>
      </c>
      <c r="U170" s="238"/>
      <c r="V170" s="520"/>
      <c r="W170" s="234" t="s">
        <v>229</v>
      </c>
      <c r="X170" s="235">
        <f t="shared" si="36"/>
        <v>0</v>
      </c>
      <c r="Y170" s="235">
        <f t="shared" si="34"/>
        <v>0</v>
      </c>
      <c r="Z170" s="235">
        <f t="shared" si="41"/>
        <v>0</v>
      </c>
      <c r="AA170" s="247">
        <f t="shared" si="39"/>
        <v>0</v>
      </c>
      <c r="AB170" s="238"/>
      <c r="AC170" s="520"/>
      <c r="AD170" s="234" t="s">
        <v>229</v>
      </c>
      <c r="AE170" s="235"/>
      <c r="AF170" s="235">
        <f t="shared" si="35"/>
        <v>0</v>
      </c>
      <c r="AG170" s="235"/>
      <c r="AH170" s="247">
        <f t="shared" si="40"/>
        <v>0</v>
      </c>
      <c r="AI170" s="238"/>
      <c r="AK170" s="240"/>
    </row>
    <row r="171" spans="1:37" x14ac:dyDescent="0.2">
      <c r="A171" s="248"/>
      <c r="B171" s="234"/>
      <c r="C171" s="235"/>
      <c r="D171" s="235"/>
      <c r="E171" s="235"/>
      <c r="F171" s="236"/>
      <c r="G171" s="239"/>
      <c r="H171" s="248"/>
      <c r="I171" s="234"/>
      <c r="J171" s="235"/>
      <c r="K171" s="235"/>
      <c r="L171" s="235"/>
      <c r="M171" s="236"/>
      <c r="N171" s="239"/>
      <c r="O171" s="520"/>
      <c r="P171" s="234" t="s">
        <v>230</v>
      </c>
      <c r="Q171" s="235">
        <f t="shared" si="30"/>
        <v>1365.4684083333236</v>
      </c>
      <c r="R171" s="235">
        <f t="shared" si="27"/>
        <v>22.757806805555393</v>
      </c>
      <c r="S171" s="235">
        <f t="shared" si="28"/>
        <v>71.866758333333323</v>
      </c>
      <c r="T171" s="247">
        <f t="shared" si="38"/>
        <v>94.624565138888713</v>
      </c>
      <c r="U171" s="238"/>
      <c r="V171" s="520"/>
      <c r="W171" s="234" t="s">
        <v>230</v>
      </c>
      <c r="X171" s="235">
        <f t="shared" si="36"/>
        <v>0</v>
      </c>
      <c r="Y171" s="235">
        <f t="shared" si="34"/>
        <v>0</v>
      </c>
      <c r="Z171" s="235">
        <f t="shared" si="41"/>
        <v>0</v>
      </c>
      <c r="AA171" s="247">
        <f t="shared" si="39"/>
        <v>0</v>
      </c>
      <c r="AB171" s="238"/>
      <c r="AC171" s="520"/>
      <c r="AD171" s="234" t="s">
        <v>230</v>
      </c>
      <c r="AE171" s="235"/>
      <c r="AF171" s="235">
        <f t="shared" si="35"/>
        <v>0</v>
      </c>
      <c r="AG171" s="235"/>
      <c r="AH171" s="247">
        <f t="shared" si="40"/>
        <v>0</v>
      </c>
      <c r="AI171" s="238"/>
      <c r="AK171" s="240"/>
    </row>
    <row r="172" spans="1:37" x14ac:dyDescent="0.2">
      <c r="A172" s="248"/>
      <c r="B172" s="234"/>
      <c r="C172" s="235"/>
      <c r="D172" s="235"/>
      <c r="E172" s="235"/>
      <c r="F172" s="236"/>
      <c r="G172" s="239"/>
      <c r="H172" s="248"/>
      <c r="I172" s="234"/>
      <c r="J172" s="235"/>
      <c r="K172" s="235"/>
      <c r="L172" s="235"/>
      <c r="M172" s="236"/>
      <c r="N172" s="239"/>
      <c r="O172" s="520"/>
      <c r="P172" s="234" t="s">
        <v>231</v>
      </c>
      <c r="Q172" s="235">
        <f t="shared" si="30"/>
        <v>1293.6016499999903</v>
      </c>
      <c r="R172" s="235">
        <f t="shared" si="27"/>
        <v>21.560027499999837</v>
      </c>
      <c r="S172" s="235">
        <f t="shared" si="28"/>
        <v>71.866758333333323</v>
      </c>
      <c r="T172" s="247">
        <f t="shared" si="38"/>
        <v>93.426785833333156</v>
      </c>
      <c r="U172" s="238"/>
      <c r="V172" s="520"/>
      <c r="W172" s="234" t="s">
        <v>231</v>
      </c>
      <c r="X172" s="235">
        <f t="shared" si="36"/>
        <v>0</v>
      </c>
      <c r="Y172" s="235">
        <f t="shared" si="34"/>
        <v>0</v>
      </c>
      <c r="Z172" s="235">
        <f t="shared" si="41"/>
        <v>0</v>
      </c>
      <c r="AA172" s="247">
        <f t="shared" si="39"/>
        <v>0</v>
      </c>
      <c r="AB172" s="238"/>
      <c r="AC172" s="520"/>
      <c r="AD172" s="234" t="s">
        <v>231</v>
      </c>
      <c r="AE172" s="235"/>
      <c r="AF172" s="235">
        <f t="shared" si="35"/>
        <v>0</v>
      </c>
      <c r="AG172" s="235"/>
      <c r="AH172" s="247">
        <f t="shared" si="40"/>
        <v>0</v>
      </c>
      <c r="AI172" s="238"/>
      <c r="AK172" s="240"/>
    </row>
    <row r="173" spans="1:37" x14ac:dyDescent="0.2">
      <c r="A173" s="248"/>
      <c r="B173" s="234"/>
      <c r="C173" s="235"/>
      <c r="D173" s="235"/>
      <c r="E173" s="235"/>
      <c r="F173" s="236"/>
      <c r="G173" s="239"/>
      <c r="H173" s="248"/>
      <c r="I173" s="234"/>
      <c r="J173" s="235"/>
      <c r="K173" s="235"/>
      <c r="L173" s="235"/>
      <c r="M173" s="236"/>
      <c r="N173" s="239"/>
      <c r="O173" s="520"/>
      <c r="P173" s="234" t="s">
        <v>232</v>
      </c>
      <c r="Q173" s="235">
        <f t="shared" si="30"/>
        <v>1221.7348916666569</v>
      </c>
      <c r="R173" s="235">
        <f t="shared" si="27"/>
        <v>20.362248194444284</v>
      </c>
      <c r="S173" s="235">
        <f t="shared" si="28"/>
        <v>71.866758333333323</v>
      </c>
      <c r="T173" s="247">
        <f t="shared" si="38"/>
        <v>92.229006527777614</v>
      </c>
      <c r="U173" s="238"/>
      <c r="V173" s="520"/>
      <c r="W173" s="234" t="s">
        <v>232</v>
      </c>
      <c r="X173" s="235">
        <f t="shared" si="36"/>
        <v>0</v>
      </c>
      <c r="Y173" s="235">
        <f t="shared" si="34"/>
        <v>0</v>
      </c>
      <c r="Z173" s="235">
        <f t="shared" si="41"/>
        <v>0</v>
      </c>
      <c r="AA173" s="247">
        <f t="shared" si="39"/>
        <v>0</v>
      </c>
      <c r="AB173" s="238"/>
      <c r="AC173" s="520"/>
      <c r="AD173" s="234" t="s">
        <v>232</v>
      </c>
      <c r="AE173" s="235"/>
      <c r="AF173" s="235">
        <f t="shared" si="35"/>
        <v>0</v>
      </c>
      <c r="AG173" s="235"/>
      <c r="AH173" s="247">
        <f t="shared" si="40"/>
        <v>0</v>
      </c>
      <c r="AI173" s="238"/>
      <c r="AK173" s="240"/>
    </row>
    <row r="174" spans="1:37" x14ac:dyDescent="0.2">
      <c r="A174" s="248"/>
      <c r="B174" s="234"/>
      <c r="C174" s="235"/>
      <c r="D174" s="235"/>
      <c r="E174" s="235"/>
      <c r="F174" s="236"/>
      <c r="G174" s="239"/>
      <c r="H174" s="248"/>
      <c r="I174" s="234"/>
      <c r="J174" s="235"/>
      <c r="K174" s="235"/>
      <c r="L174" s="235"/>
      <c r="M174" s="236"/>
      <c r="N174" s="239"/>
      <c r="O174" s="520"/>
      <c r="P174" s="234" t="s">
        <v>233</v>
      </c>
      <c r="Q174" s="235">
        <f t="shared" si="30"/>
        <v>1149.8681333333236</v>
      </c>
      <c r="R174" s="235">
        <f t="shared" si="27"/>
        <v>19.164468888888727</v>
      </c>
      <c r="S174" s="235">
        <f t="shared" si="28"/>
        <v>71.866758333333323</v>
      </c>
      <c r="T174" s="247">
        <f t="shared" si="38"/>
        <v>91.031227222222043</v>
      </c>
      <c r="U174" s="238"/>
      <c r="V174" s="520"/>
      <c r="W174" s="234" t="s">
        <v>233</v>
      </c>
      <c r="X174" s="235">
        <f t="shared" si="36"/>
        <v>0</v>
      </c>
      <c r="Y174" s="235">
        <f t="shared" si="34"/>
        <v>0</v>
      </c>
      <c r="Z174" s="235">
        <f t="shared" si="41"/>
        <v>0</v>
      </c>
      <c r="AA174" s="247">
        <f t="shared" si="39"/>
        <v>0</v>
      </c>
      <c r="AB174" s="238"/>
      <c r="AC174" s="520"/>
      <c r="AD174" s="234" t="s">
        <v>233</v>
      </c>
      <c r="AE174" s="235"/>
      <c r="AF174" s="235">
        <f t="shared" si="35"/>
        <v>0</v>
      </c>
      <c r="AG174" s="235"/>
      <c r="AH174" s="247">
        <f t="shared" si="40"/>
        <v>0</v>
      </c>
      <c r="AI174" s="238"/>
      <c r="AK174" s="240"/>
    </row>
    <row r="175" spans="1:37" x14ac:dyDescent="0.2">
      <c r="A175" s="248"/>
      <c r="B175" s="234"/>
      <c r="C175" s="235"/>
      <c r="D175" s="235"/>
      <c r="E175" s="235"/>
      <c r="F175" s="236"/>
      <c r="G175" s="239"/>
      <c r="H175" s="248"/>
      <c r="I175" s="234"/>
      <c r="J175" s="235"/>
      <c r="K175" s="235"/>
      <c r="L175" s="235"/>
      <c r="M175" s="236"/>
      <c r="N175" s="239"/>
      <c r="O175" s="520"/>
      <c r="P175" s="234" t="s">
        <v>234</v>
      </c>
      <c r="Q175" s="235">
        <f t="shared" si="30"/>
        <v>1078.0013749999903</v>
      </c>
      <c r="R175" s="235">
        <f t="shared" si="27"/>
        <v>17.966689583333174</v>
      </c>
      <c r="S175" s="235">
        <f t="shared" si="28"/>
        <v>71.866758333333323</v>
      </c>
      <c r="T175" s="247">
        <f t="shared" si="38"/>
        <v>89.833447916666501</v>
      </c>
      <c r="U175" s="238"/>
      <c r="V175" s="520"/>
      <c r="W175" s="234" t="s">
        <v>234</v>
      </c>
      <c r="X175" s="235">
        <f t="shared" si="36"/>
        <v>0</v>
      </c>
      <c r="Y175" s="235">
        <f t="shared" si="34"/>
        <v>0</v>
      </c>
      <c r="Z175" s="235">
        <f t="shared" si="41"/>
        <v>0</v>
      </c>
      <c r="AA175" s="247">
        <f t="shared" si="39"/>
        <v>0</v>
      </c>
      <c r="AB175" s="238"/>
      <c r="AC175" s="520"/>
      <c r="AD175" s="234" t="s">
        <v>234</v>
      </c>
      <c r="AE175" s="235"/>
      <c r="AF175" s="235">
        <f t="shared" si="35"/>
        <v>0</v>
      </c>
      <c r="AG175" s="235"/>
      <c r="AH175" s="247">
        <f t="shared" si="40"/>
        <v>0</v>
      </c>
      <c r="AI175" s="238"/>
      <c r="AK175" s="240"/>
    </row>
    <row r="176" spans="1:37" x14ac:dyDescent="0.2">
      <c r="A176" s="248"/>
      <c r="B176" s="234"/>
      <c r="C176" s="235"/>
      <c r="D176" s="235"/>
      <c r="E176" s="235"/>
      <c r="F176" s="236"/>
      <c r="G176" s="239"/>
      <c r="H176" s="248"/>
      <c r="I176" s="234"/>
      <c r="J176" s="235"/>
      <c r="K176" s="235"/>
      <c r="L176" s="235"/>
      <c r="M176" s="236"/>
      <c r="N176" s="239"/>
      <c r="O176" s="520"/>
      <c r="P176" s="234" t="s">
        <v>235</v>
      </c>
      <c r="Q176" s="235">
        <f t="shared" si="30"/>
        <v>1006.1346166666569</v>
      </c>
      <c r="R176" s="235">
        <f t="shared" si="27"/>
        <v>16.768910277777618</v>
      </c>
      <c r="S176" s="235">
        <f t="shared" si="28"/>
        <v>71.866758333333323</v>
      </c>
      <c r="T176" s="247">
        <f t="shared" si="38"/>
        <v>88.635668611110944</v>
      </c>
      <c r="U176" s="238"/>
      <c r="V176" s="520"/>
      <c r="W176" s="234" t="s">
        <v>235</v>
      </c>
      <c r="X176" s="235">
        <f t="shared" si="36"/>
        <v>0</v>
      </c>
      <c r="Y176" s="235">
        <f t="shared" si="34"/>
        <v>0</v>
      </c>
      <c r="Z176" s="235">
        <f t="shared" si="41"/>
        <v>0</v>
      </c>
      <c r="AA176" s="247">
        <f t="shared" si="39"/>
        <v>0</v>
      </c>
      <c r="AB176" s="238"/>
      <c r="AC176" s="520"/>
      <c r="AD176" s="234" t="s">
        <v>235</v>
      </c>
      <c r="AE176" s="235"/>
      <c r="AF176" s="235">
        <f t="shared" si="35"/>
        <v>0</v>
      </c>
      <c r="AG176" s="235"/>
      <c r="AH176" s="247">
        <f t="shared" si="40"/>
        <v>0</v>
      </c>
      <c r="AI176" s="238"/>
      <c r="AK176" s="240"/>
    </row>
    <row r="177" spans="1:37" x14ac:dyDescent="0.2">
      <c r="A177" s="248"/>
      <c r="B177" s="234"/>
      <c r="C177" s="235"/>
      <c r="D177" s="235"/>
      <c r="E177" s="235"/>
      <c r="F177" s="236"/>
      <c r="G177" s="239"/>
      <c r="H177" s="248"/>
      <c r="I177" s="234"/>
      <c r="J177" s="235"/>
      <c r="K177" s="235"/>
      <c r="L177" s="235"/>
      <c r="M177" s="236"/>
      <c r="N177" s="239"/>
      <c r="O177" s="521"/>
      <c r="P177" s="234" t="s">
        <v>236</v>
      </c>
      <c r="Q177" s="235">
        <f t="shared" si="30"/>
        <v>934.2678583333236</v>
      </c>
      <c r="R177" s="235">
        <f t="shared" si="27"/>
        <v>15.571130972222059</v>
      </c>
      <c r="S177" s="235">
        <f t="shared" si="28"/>
        <v>71.866758333333323</v>
      </c>
      <c r="T177" s="247">
        <f t="shared" si="38"/>
        <v>87.437889305555387</v>
      </c>
      <c r="U177" s="238">
        <f>SUM(R166:R177)</f>
        <v>265.90700583333143</v>
      </c>
      <c r="V177" s="521"/>
      <c r="W177" s="234" t="s">
        <v>236</v>
      </c>
      <c r="X177" s="235">
        <f t="shared" si="36"/>
        <v>0</v>
      </c>
      <c r="Y177" s="235">
        <f t="shared" si="34"/>
        <v>0</v>
      </c>
      <c r="Z177" s="235">
        <f t="shared" si="41"/>
        <v>0</v>
      </c>
      <c r="AA177" s="247">
        <f t="shared" si="39"/>
        <v>0</v>
      </c>
      <c r="AB177" s="238">
        <f>SUM(Y166:Y177)</f>
        <v>0</v>
      </c>
      <c r="AC177" s="521"/>
      <c r="AD177" s="234" t="s">
        <v>236</v>
      </c>
      <c r="AE177" s="235"/>
      <c r="AF177" s="235">
        <f t="shared" si="35"/>
        <v>0</v>
      </c>
      <c r="AG177" s="235"/>
      <c r="AH177" s="247">
        <f t="shared" si="40"/>
        <v>0</v>
      </c>
      <c r="AI177" s="238">
        <f>SUM(AF166:AF177)</f>
        <v>0</v>
      </c>
      <c r="AJ177" s="208">
        <f>O166</f>
        <v>2035</v>
      </c>
      <c r="AK177" s="240">
        <f>G177+N177+U177+AB177+AI177</f>
        <v>265.90700583333143</v>
      </c>
    </row>
    <row r="178" spans="1:37" x14ac:dyDescent="0.2">
      <c r="A178" s="248"/>
      <c r="B178" s="234"/>
      <c r="C178" s="235"/>
      <c r="D178" s="235"/>
      <c r="E178" s="235"/>
      <c r="F178" s="236"/>
      <c r="G178" s="239"/>
      <c r="H178" s="248"/>
      <c r="I178" s="234"/>
      <c r="J178" s="235"/>
      <c r="K178" s="235"/>
      <c r="L178" s="235"/>
      <c r="M178" s="236"/>
      <c r="N178" s="239"/>
      <c r="O178" s="519">
        <f>O166+1</f>
        <v>2036</v>
      </c>
      <c r="P178" s="234" t="s">
        <v>225</v>
      </c>
      <c r="Q178" s="235">
        <f t="shared" si="30"/>
        <v>862.40109999999027</v>
      </c>
      <c r="R178" s="235">
        <f t="shared" si="27"/>
        <v>14.373351666666506</v>
      </c>
      <c r="S178" s="235">
        <f t="shared" si="28"/>
        <v>71.866758333333323</v>
      </c>
      <c r="T178" s="247">
        <f t="shared" si="38"/>
        <v>86.240109999999831</v>
      </c>
      <c r="U178" s="237"/>
      <c r="V178" s="519">
        <v>2035</v>
      </c>
      <c r="W178" s="234" t="s">
        <v>225</v>
      </c>
      <c r="X178" s="235">
        <f t="shared" si="36"/>
        <v>0</v>
      </c>
      <c r="Y178" s="235">
        <f t="shared" si="34"/>
        <v>0</v>
      </c>
      <c r="Z178" s="235">
        <f t="shared" si="41"/>
        <v>0</v>
      </c>
      <c r="AA178" s="247">
        <f t="shared" si="39"/>
        <v>0</v>
      </c>
      <c r="AB178" s="237"/>
      <c r="AC178" s="519">
        <v>2035</v>
      </c>
      <c r="AD178" s="234" t="s">
        <v>225</v>
      </c>
      <c r="AE178" s="235"/>
      <c r="AF178" s="235">
        <f t="shared" si="35"/>
        <v>0</v>
      </c>
      <c r="AG178" s="235"/>
      <c r="AH178" s="247">
        <f t="shared" si="40"/>
        <v>0</v>
      </c>
      <c r="AI178" s="237"/>
      <c r="AK178" s="240"/>
    </row>
    <row r="179" spans="1:37" x14ac:dyDescent="0.2">
      <c r="A179" s="248"/>
      <c r="B179" s="234"/>
      <c r="C179" s="235"/>
      <c r="D179" s="235"/>
      <c r="E179" s="235"/>
      <c r="F179" s="236"/>
      <c r="G179" s="239"/>
      <c r="H179" s="248"/>
      <c r="I179" s="234"/>
      <c r="J179" s="235"/>
      <c r="K179" s="235"/>
      <c r="L179" s="235"/>
      <c r="M179" s="236"/>
      <c r="N179" s="239"/>
      <c r="O179" s="520"/>
      <c r="P179" s="234" t="s">
        <v>226</v>
      </c>
      <c r="Q179" s="235">
        <f t="shared" si="30"/>
        <v>790.53434166665693</v>
      </c>
      <c r="R179" s="235">
        <f t="shared" si="27"/>
        <v>13.17557236111095</v>
      </c>
      <c r="S179" s="235">
        <f t="shared" si="28"/>
        <v>71.866758333333323</v>
      </c>
      <c r="T179" s="247">
        <f t="shared" si="38"/>
        <v>85.042330694444274</v>
      </c>
      <c r="U179" s="238"/>
      <c r="V179" s="520"/>
      <c r="W179" s="234" t="s">
        <v>226</v>
      </c>
      <c r="X179" s="235">
        <f t="shared" si="36"/>
        <v>0</v>
      </c>
      <c r="Y179" s="235">
        <f t="shared" si="34"/>
        <v>0</v>
      </c>
      <c r="Z179" s="235">
        <f t="shared" si="41"/>
        <v>0</v>
      </c>
      <c r="AA179" s="247">
        <f t="shared" si="39"/>
        <v>0</v>
      </c>
      <c r="AB179" s="238"/>
      <c r="AC179" s="520"/>
      <c r="AD179" s="234" t="s">
        <v>226</v>
      </c>
      <c r="AE179" s="235"/>
      <c r="AF179" s="235">
        <f t="shared" si="35"/>
        <v>0</v>
      </c>
      <c r="AG179" s="235"/>
      <c r="AH179" s="247">
        <f t="shared" si="40"/>
        <v>0</v>
      </c>
      <c r="AI179" s="238"/>
      <c r="AK179" s="240"/>
    </row>
    <row r="180" spans="1:37" x14ac:dyDescent="0.2">
      <c r="A180" s="248"/>
      <c r="B180" s="234"/>
      <c r="C180" s="235"/>
      <c r="D180" s="235"/>
      <c r="E180" s="235"/>
      <c r="F180" s="236"/>
      <c r="G180" s="239"/>
      <c r="H180" s="248"/>
      <c r="I180" s="234"/>
      <c r="J180" s="235"/>
      <c r="K180" s="235"/>
      <c r="L180" s="235"/>
      <c r="M180" s="236"/>
      <c r="N180" s="239"/>
      <c r="O180" s="520"/>
      <c r="P180" s="234" t="s">
        <v>227</v>
      </c>
      <c r="Q180" s="235">
        <f t="shared" si="30"/>
        <v>718.66758333332359</v>
      </c>
      <c r="R180" s="235">
        <f t="shared" si="27"/>
        <v>11.977793055555393</v>
      </c>
      <c r="S180" s="235">
        <f t="shared" si="28"/>
        <v>71.866758333333323</v>
      </c>
      <c r="T180" s="247">
        <f t="shared" si="38"/>
        <v>83.844551388888718</v>
      </c>
      <c r="U180" s="238"/>
      <c r="V180" s="520"/>
      <c r="W180" s="234" t="s">
        <v>227</v>
      </c>
      <c r="X180" s="235">
        <f t="shared" si="36"/>
        <v>0</v>
      </c>
      <c r="Y180" s="235">
        <f t="shared" si="34"/>
        <v>0</v>
      </c>
      <c r="Z180" s="235">
        <f t="shared" si="41"/>
        <v>0</v>
      </c>
      <c r="AA180" s="247">
        <f t="shared" si="39"/>
        <v>0</v>
      </c>
      <c r="AB180" s="238"/>
      <c r="AC180" s="520"/>
      <c r="AD180" s="234" t="s">
        <v>227</v>
      </c>
      <c r="AE180" s="235"/>
      <c r="AF180" s="235">
        <f t="shared" si="35"/>
        <v>0</v>
      </c>
      <c r="AG180" s="235"/>
      <c r="AH180" s="247">
        <f t="shared" si="40"/>
        <v>0</v>
      </c>
      <c r="AI180" s="238"/>
      <c r="AK180" s="240"/>
    </row>
    <row r="181" spans="1:37" x14ac:dyDescent="0.2">
      <c r="A181" s="248"/>
      <c r="B181" s="234"/>
      <c r="C181" s="235"/>
      <c r="D181" s="235"/>
      <c r="E181" s="235"/>
      <c r="F181" s="236"/>
      <c r="G181" s="239"/>
      <c r="H181" s="248"/>
      <c r="I181" s="234"/>
      <c r="J181" s="235"/>
      <c r="K181" s="235"/>
      <c r="L181" s="235"/>
      <c r="M181" s="236"/>
      <c r="N181" s="239"/>
      <c r="O181" s="520"/>
      <c r="P181" s="234" t="s">
        <v>228</v>
      </c>
      <c r="Q181" s="235">
        <f t="shared" si="30"/>
        <v>646.80082499999025</v>
      </c>
      <c r="R181" s="235">
        <f t="shared" si="27"/>
        <v>10.780013749999839</v>
      </c>
      <c r="S181" s="235">
        <f t="shared" si="28"/>
        <v>71.866758333333323</v>
      </c>
      <c r="T181" s="247">
        <f t="shared" si="38"/>
        <v>82.646772083333161</v>
      </c>
      <c r="U181" s="238"/>
      <c r="V181" s="520"/>
      <c r="W181" s="234" t="s">
        <v>228</v>
      </c>
      <c r="X181" s="235">
        <f t="shared" si="36"/>
        <v>0</v>
      </c>
      <c r="Y181" s="235">
        <f t="shared" si="34"/>
        <v>0</v>
      </c>
      <c r="Z181" s="235">
        <f t="shared" si="41"/>
        <v>0</v>
      </c>
      <c r="AA181" s="247">
        <f t="shared" si="39"/>
        <v>0</v>
      </c>
      <c r="AB181" s="238"/>
      <c r="AC181" s="520"/>
      <c r="AD181" s="234" t="s">
        <v>228</v>
      </c>
      <c r="AE181" s="235"/>
      <c r="AF181" s="235">
        <f t="shared" si="35"/>
        <v>0</v>
      </c>
      <c r="AG181" s="235"/>
      <c r="AH181" s="247">
        <f t="shared" si="40"/>
        <v>0</v>
      </c>
      <c r="AI181" s="238"/>
      <c r="AK181" s="240"/>
    </row>
    <row r="182" spans="1:37" x14ac:dyDescent="0.2">
      <c r="A182" s="248"/>
      <c r="B182" s="234"/>
      <c r="C182" s="235"/>
      <c r="D182" s="235"/>
      <c r="E182" s="235"/>
      <c r="F182" s="236"/>
      <c r="G182" s="239"/>
      <c r="H182" s="248"/>
      <c r="I182" s="234"/>
      <c r="J182" s="235"/>
      <c r="K182" s="235"/>
      <c r="L182" s="235"/>
      <c r="M182" s="236"/>
      <c r="N182" s="239"/>
      <c r="O182" s="520"/>
      <c r="P182" s="234" t="s">
        <v>229</v>
      </c>
      <c r="Q182" s="235">
        <f t="shared" si="30"/>
        <v>574.93406666665692</v>
      </c>
      <c r="R182" s="235">
        <f t="shared" si="27"/>
        <v>9.582234444444282</v>
      </c>
      <c r="S182" s="235">
        <f t="shared" si="28"/>
        <v>71.866758333333323</v>
      </c>
      <c r="T182" s="247">
        <f t="shared" si="38"/>
        <v>81.448992777777605</v>
      </c>
      <c r="U182" s="238"/>
      <c r="V182" s="520"/>
      <c r="W182" s="234" t="s">
        <v>229</v>
      </c>
      <c r="X182" s="235">
        <f t="shared" si="36"/>
        <v>0</v>
      </c>
      <c r="Y182" s="235">
        <f t="shared" si="34"/>
        <v>0</v>
      </c>
      <c r="Z182" s="235">
        <f t="shared" si="41"/>
        <v>0</v>
      </c>
      <c r="AA182" s="247">
        <f t="shared" si="39"/>
        <v>0</v>
      </c>
      <c r="AB182" s="238"/>
      <c r="AC182" s="520"/>
      <c r="AD182" s="234" t="s">
        <v>229</v>
      </c>
      <c r="AE182" s="235"/>
      <c r="AF182" s="235">
        <f t="shared" si="35"/>
        <v>0</v>
      </c>
      <c r="AG182" s="235"/>
      <c r="AH182" s="247">
        <f t="shared" si="40"/>
        <v>0</v>
      </c>
      <c r="AI182" s="238"/>
      <c r="AK182" s="240"/>
    </row>
    <row r="183" spans="1:37" x14ac:dyDescent="0.2">
      <c r="A183" s="248"/>
      <c r="B183" s="234"/>
      <c r="C183" s="235"/>
      <c r="D183" s="235"/>
      <c r="E183" s="235"/>
      <c r="F183" s="236"/>
      <c r="G183" s="239"/>
      <c r="H183" s="248"/>
      <c r="I183" s="234"/>
      <c r="J183" s="235"/>
      <c r="K183" s="235"/>
      <c r="L183" s="235"/>
      <c r="M183" s="236"/>
      <c r="N183" s="239"/>
      <c r="O183" s="520"/>
      <c r="P183" s="234" t="s">
        <v>230</v>
      </c>
      <c r="Q183" s="235">
        <f t="shared" si="30"/>
        <v>503.06730833332358</v>
      </c>
      <c r="R183" s="235">
        <f t="shared" si="27"/>
        <v>8.3844551388887272</v>
      </c>
      <c r="S183" s="235">
        <f t="shared" si="28"/>
        <v>71.866758333333323</v>
      </c>
      <c r="T183" s="247">
        <f t="shared" si="38"/>
        <v>80.251213472222048</v>
      </c>
      <c r="U183" s="238"/>
      <c r="V183" s="520"/>
      <c r="W183" s="234" t="s">
        <v>230</v>
      </c>
      <c r="X183" s="235">
        <f t="shared" si="36"/>
        <v>0</v>
      </c>
      <c r="Y183" s="235">
        <f t="shared" si="34"/>
        <v>0</v>
      </c>
      <c r="Z183" s="235">
        <f t="shared" si="41"/>
        <v>0</v>
      </c>
      <c r="AA183" s="247">
        <f t="shared" si="39"/>
        <v>0</v>
      </c>
      <c r="AB183" s="238"/>
      <c r="AC183" s="520"/>
      <c r="AD183" s="234" t="s">
        <v>230</v>
      </c>
      <c r="AE183" s="235"/>
      <c r="AF183" s="235">
        <f t="shared" si="35"/>
        <v>0</v>
      </c>
      <c r="AG183" s="235"/>
      <c r="AH183" s="247">
        <f t="shared" si="40"/>
        <v>0</v>
      </c>
      <c r="AI183" s="238"/>
      <c r="AK183" s="240"/>
    </row>
    <row r="184" spans="1:37" x14ac:dyDescent="0.2">
      <c r="A184" s="248"/>
      <c r="B184" s="234"/>
      <c r="C184" s="235"/>
      <c r="D184" s="235"/>
      <c r="E184" s="235"/>
      <c r="F184" s="236"/>
      <c r="G184" s="239"/>
      <c r="H184" s="248"/>
      <c r="I184" s="234"/>
      <c r="J184" s="235"/>
      <c r="K184" s="235"/>
      <c r="L184" s="235"/>
      <c r="M184" s="236"/>
      <c r="N184" s="239"/>
      <c r="O184" s="520"/>
      <c r="P184" s="234" t="s">
        <v>231</v>
      </c>
      <c r="Q184" s="235">
        <f t="shared" si="30"/>
        <v>431.20054999999024</v>
      </c>
      <c r="R184" s="235">
        <f t="shared" si="27"/>
        <v>7.1866758333331715</v>
      </c>
      <c r="S184" s="235">
        <f t="shared" si="28"/>
        <v>71.866758333333323</v>
      </c>
      <c r="T184" s="247">
        <f t="shared" si="38"/>
        <v>79.053434166666491</v>
      </c>
      <c r="U184" s="238"/>
      <c r="V184" s="520"/>
      <c r="W184" s="234" t="s">
        <v>231</v>
      </c>
      <c r="X184" s="235">
        <f t="shared" si="36"/>
        <v>0</v>
      </c>
      <c r="Y184" s="235">
        <f t="shared" si="34"/>
        <v>0</v>
      </c>
      <c r="Z184" s="235">
        <f t="shared" si="41"/>
        <v>0</v>
      </c>
      <c r="AA184" s="247">
        <f t="shared" si="39"/>
        <v>0</v>
      </c>
      <c r="AB184" s="238"/>
      <c r="AC184" s="520"/>
      <c r="AD184" s="234" t="s">
        <v>231</v>
      </c>
      <c r="AE184" s="235"/>
      <c r="AF184" s="235">
        <f t="shared" si="35"/>
        <v>0</v>
      </c>
      <c r="AG184" s="235"/>
      <c r="AH184" s="247">
        <f t="shared" si="40"/>
        <v>0</v>
      </c>
      <c r="AI184" s="238"/>
      <c r="AK184" s="240"/>
    </row>
    <row r="185" spans="1:37" x14ac:dyDescent="0.2">
      <c r="A185" s="248"/>
      <c r="B185" s="234"/>
      <c r="C185" s="235"/>
      <c r="D185" s="235"/>
      <c r="E185" s="235"/>
      <c r="F185" s="236"/>
      <c r="G185" s="239"/>
      <c r="H185" s="248"/>
      <c r="I185" s="234"/>
      <c r="J185" s="235"/>
      <c r="K185" s="235"/>
      <c r="L185" s="235"/>
      <c r="M185" s="236"/>
      <c r="N185" s="239"/>
      <c r="O185" s="520"/>
      <c r="P185" s="234" t="s">
        <v>232</v>
      </c>
      <c r="Q185" s="235">
        <f t="shared" si="30"/>
        <v>359.33379166665691</v>
      </c>
      <c r="R185" s="235">
        <f t="shared" si="27"/>
        <v>5.9888965277776158</v>
      </c>
      <c r="S185" s="235">
        <f t="shared" si="28"/>
        <v>71.866758333333323</v>
      </c>
      <c r="T185" s="247">
        <f t="shared" si="38"/>
        <v>77.855654861110935</v>
      </c>
      <c r="U185" s="238"/>
      <c r="V185" s="520"/>
      <c r="W185" s="234" t="s">
        <v>232</v>
      </c>
      <c r="X185" s="235">
        <f t="shared" si="36"/>
        <v>0</v>
      </c>
      <c r="Y185" s="235">
        <f t="shared" si="34"/>
        <v>0</v>
      </c>
      <c r="Z185" s="235">
        <f t="shared" si="41"/>
        <v>0</v>
      </c>
      <c r="AA185" s="247">
        <f t="shared" si="39"/>
        <v>0</v>
      </c>
      <c r="AB185" s="238"/>
      <c r="AC185" s="520"/>
      <c r="AD185" s="234" t="s">
        <v>232</v>
      </c>
      <c r="AE185" s="235"/>
      <c r="AF185" s="235">
        <f t="shared" si="35"/>
        <v>0</v>
      </c>
      <c r="AG185" s="235"/>
      <c r="AH185" s="247">
        <f t="shared" si="40"/>
        <v>0</v>
      </c>
      <c r="AI185" s="238"/>
      <c r="AK185" s="240"/>
    </row>
    <row r="186" spans="1:37" x14ac:dyDescent="0.2">
      <c r="A186" s="248"/>
      <c r="B186" s="234"/>
      <c r="C186" s="235"/>
      <c r="D186" s="235"/>
      <c r="E186" s="235"/>
      <c r="F186" s="236"/>
      <c r="G186" s="239"/>
      <c r="H186" s="248"/>
      <c r="I186" s="234"/>
      <c r="J186" s="235"/>
      <c r="K186" s="235"/>
      <c r="L186" s="235"/>
      <c r="M186" s="236"/>
      <c r="N186" s="239"/>
      <c r="O186" s="520"/>
      <c r="P186" s="234" t="s">
        <v>233</v>
      </c>
      <c r="Q186" s="235">
        <f t="shared" si="30"/>
        <v>287.46703333332357</v>
      </c>
      <c r="R186" s="235">
        <f t="shared" si="27"/>
        <v>4.7911172222220602</v>
      </c>
      <c r="S186" s="235">
        <f t="shared" si="28"/>
        <v>71.866758333333323</v>
      </c>
      <c r="T186" s="247">
        <f t="shared" si="38"/>
        <v>76.657875555555378</v>
      </c>
      <c r="U186" s="238"/>
      <c r="V186" s="520"/>
      <c r="W186" s="234" t="s">
        <v>233</v>
      </c>
      <c r="X186" s="235">
        <f t="shared" si="36"/>
        <v>0</v>
      </c>
      <c r="Y186" s="235">
        <f t="shared" si="34"/>
        <v>0</v>
      </c>
      <c r="Z186" s="235">
        <f t="shared" si="41"/>
        <v>0</v>
      </c>
      <c r="AA186" s="247">
        <f t="shared" si="39"/>
        <v>0</v>
      </c>
      <c r="AB186" s="238"/>
      <c r="AC186" s="520"/>
      <c r="AD186" s="234" t="s">
        <v>233</v>
      </c>
      <c r="AE186" s="235"/>
      <c r="AF186" s="235">
        <f t="shared" si="35"/>
        <v>0</v>
      </c>
      <c r="AG186" s="235"/>
      <c r="AH186" s="247">
        <f t="shared" si="40"/>
        <v>0</v>
      </c>
      <c r="AI186" s="238"/>
      <c r="AK186" s="240"/>
    </row>
    <row r="187" spans="1:37" x14ac:dyDescent="0.2">
      <c r="A187" s="248"/>
      <c r="B187" s="234"/>
      <c r="C187" s="235"/>
      <c r="D187" s="235"/>
      <c r="E187" s="235"/>
      <c r="F187" s="236"/>
      <c r="G187" s="239"/>
      <c r="H187" s="248"/>
      <c r="I187" s="234"/>
      <c r="J187" s="235"/>
      <c r="K187" s="235"/>
      <c r="L187" s="235"/>
      <c r="M187" s="236"/>
      <c r="N187" s="239"/>
      <c r="O187" s="520"/>
      <c r="P187" s="234" t="s">
        <v>234</v>
      </c>
      <c r="Q187" s="235">
        <f t="shared" si="30"/>
        <v>215.60027499999023</v>
      </c>
      <c r="R187" s="235">
        <f t="shared" si="27"/>
        <v>3.593337916666504</v>
      </c>
      <c r="S187" s="235">
        <f t="shared" si="28"/>
        <v>71.866758333333323</v>
      </c>
      <c r="T187" s="247">
        <f t="shared" si="38"/>
        <v>75.460096249999822</v>
      </c>
      <c r="U187" s="238"/>
      <c r="V187" s="520"/>
      <c r="W187" s="234" t="s">
        <v>234</v>
      </c>
      <c r="X187" s="235">
        <f t="shared" si="36"/>
        <v>0</v>
      </c>
      <c r="Y187" s="235">
        <f t="shared" si="34"/>
        <v>0</v>
      </c>
      <c r="Z187" s="235">
        <f t="shared" si="41"/>
        <v>0</v>
      </c>
      <c r="AA187" s="247">
        <f t="shared" si="39"/>
        <v>0</v>
      </c>
      <c r="AB187" s="238"/>
      <c r="AC187" s="520"/>
      <c r="AD187" s="234" t="s">
        <v>234</v>
      </c>
      <c r="AE187" s="235"/>
      <c r="AF187" s="235">
        <f t="shared" si="35"/>
        <v>0</v>
      </c>
      <c r="AG187" s="235"/>
      <c r="AH187" s="247">
        <f t="shared" si="40"/>
        <v>0</v>
      </c>
      <c r="AI187" s="238"/>
      <c r="AK187" s="240"/>
    </row>
    <row r="188" spans="1:37" x14ac:dyDescent="0.2">
      <c r="A188" s="248"/>
      <c r="B188" s="234"/>
      <c r="C188" s="235"/>
      <c r="D188" s="235"/>
      <c r="E188" s="235"/>
      <c r="F188" s="236"/>
      <c r="G188" s="239"/>
      <c r="H188" s="248"/>
      <c r="I188" s="234"/>
      <c r="J188" s="235"/>
      <c r="K188" s="235"/>
      <c r="L188" s="235"/>
      <c r="M188" s="236"/>
      <c r="N188" s="239"/>
      <c r="O188" s="520"/>
      <c r="P188" s="234" t="s">
        <v>235</v>
      </c>
      <c r="Q188" s="235">
        <f t="shared" si="30"/>
        <v>143.7335166666569</v>
      </c>
      <c r="R188" s="235">
        <f t="shared" si="27"/>
        <v>2.3955586111109484</v>
      </c>
      <c r="S188" s="235">
        <f t="shared" si="28"/>
        <v>71.866758333333323</v>
      </c>
      <c r="T188" s="247">
        <f t="shared" si="38"/>
        <v>74.262316944444265</v>
      </c>
      <c r="U188" s="238"/>
      <c r="V188" s="520"/>
      <c r="W188" s="234" t="s">
        <v>235</v>
      </c>
      <c r="X188" s="235">
        <f t="shared" si="36"/>
        <v>0</v>
      </c>
      <c r="Y188" s="235">
        <f t="shared" si="34"/>
        <v>0</v>
      </c>
      <c r="Z188" s="235">
        <f t="shared" si="41"/>
        <v>0</v>
      </c>
      <c r="AA188" s="247">
        <f t="shared" si="39"/>
        <v>0</v>
      </c>
      <c r="AB188" s="238"/>
      <c r="AC188" s="520"/>
      <c r="AD188" s="234" t="s">
        <v>235</v>
      </c>
      <c r="AE188" s="235"/>
      <c r="AF188" s="235">
        <f t="shared" si="35"/>
        <v>0</v>
      </c>
      <c r="AG188" s="235"/>
      <c r="AH188" s="247">
        <f t="shared" si="40"/>
        <v>0</v>
      </c>
      <c r="AI188" s="238"/>
      <c r="AK188" s="240"/>
    </row>
    <row r="189" spans="1:37" x14ac:dyDescent="0.2">
      <c r="A189" s="248"/>
      <c r="B189" s="234"/>
      <c r="C189" s="235"/>
      <c r="D189" s="235"/>
      <c r="E189" s="235"/>
      <c r="F189" s="236"/>
      <c r="G189" s="239"/>
      <c r="H189" s="248"/>
      <c r="I189" s="234"/>
      <c r="J189" s="235"/>
      <c r="K189" s="235"/>
      <c r="L189" s="235"/>
      <c r="M189" s="236"/>
      <c r="N189" s="239"/>
      <c r="O189" s="521"/>
      <c r="P189" s="234" t="s">
        <v>236</v>
      </c>
      <c r="Q189" s="235">
        <f t="shared" si="30"/>
        <v>71.866758333323574</v>
      </c>
      <c r="R189" s="235">
        <f t="shared" si="27"/>
        <v>1.1977793055553929</v>
      </c>
      <c r="S189" s="235">
        <f t="shared" si="28"/>
        <v>71.866758333333323</v>
      </c>
      <c r="T189" s="247">
        <f t="shared" si="38"/>
        <v>73.064537638888709</v>
      </c>
      <c r="U189" s="239">
        <f>SUM(R178:R189)</f>
        <v>93.426785833331365</v>
      </c>
      <c r="V189" s="521"/>
      <c r="W189" s="234" t="s">
        <v>236</v>
      </c>
      <c r="X189" s="235">
        <f t="shared" si="36"/>
        <v>0</v>
      </c>
      <c r="Y189" s="235">
        <f t="shared" si="34"/>
        <v>0</v>
      </c>
      <c r="Z189" s="235">
        <f t="shared" si="41"/>
        <v>0</v>
      </c>
      <c r="AA189" s="247">
        <f t="shared" si="39"/>
        <v>0</v>
      </c>
      <c r="AB189" s="239">
        <f>SUM(Y178:Y189)</f>
        <v>0</v>
      </c>
      <c r="AC189" s="521"/>
      <c r="AD189" s="234" t="s">
        <v>236</v>
      </c>
      <c r="AE189" s="235"/>
      <c r="AF189" s="235">
        <f t="shared" si="35"/>
        <v>0</v>
      </c>
      <c r="AG189" s="235"/>
      <c r="AH189" s="247">
        <f t="shared" si="40"/>
        <v>0</v>
      </c>
      <c r="AI189" s="239">
        <f>SUM(AF178:AF189)</f>
        <v>0</v>
      </c>
      <c r="AJ189" s="208">
        <f>O178</f>
        <v>2036</v>
      </c>
      <c r="AK189" s="240">
        <f>G189+N189+U189+AB189+AI189</f>
        <v>93.426785833331365</v>
      </c>
    </row>
    <row r="190" spans="1:37" x14ac:dyDescent="0.2">
      <c r="A190" s="248"/>
      <c r="B190" s="234"/>
      <c r="C190" s="235"/>
      <c r="D190" s="235"/>
      <c r="E190" s="235"/>
      <c r="F190" s="236"/>
      <c r="G190" s="239"/>
      <c r="H190" s="248"/>
      <c r="I190" s="234"/>
      <c r="J190" s="235"/>
      <c r="K190" s="235"/>
      <c r="L190" s="235"/>
      <c r="M190" s="236"/>
      <c r="N190" s="239"/>
      <c r="O190" s="519">
        <v>2036</v>
      </c>
      <c r="P190" s="234" t="s">
        <v>225</v>
      </c>
      <c r="Q190" s="235"/>
      <c r="R190" s="235"/>
      <c r="S190" s="235"/>
      <c r="T190" s="236">
        <f t="shared" si="38"/>
        <v>0</v>
      </c>
      <c r="U190" s="239"/>
      <c r="V190" s="519">
        <v>2036</v>
      </c>
      <c r="W190" s="234" t="s">
        <v>225</v>
      </c>
      <c r="X190" s="235">
        <f t="shared" si="36"/>
        <v>0</v>
      </c>
      <c r="Y190" s="235">
        <f>X190*$Y$7/12</f>
        <v>0</v>
      </c>
      <c r="Z190" s="235">
        <f t="shared" si="41"/>
        <v>0</v>
      </c>
      <c r="AA190" s="247">
        <f t="shared" si="39"/>
        <v>0</v>
      </c>
      <c r="AB190" s="249"/>
      <c r="AC190" s="519">
        <v>2036</v>
      </c>
      <c r="AD190" s="234" t="s">
        <v>225</v>
      </c>
      <c r="AE190" s="235">
        <f>AE7-AE8</f>
        <v>0</v>
      </c>
      <c r="AF190" s="235">
        <f>AE190*$Y$7/12</f>
        <v>0</v>
      </c>
      <c r="AG190" s="235">
        <f>AE$7/AF$8</f>
        <v>0</v>
      </c>
      <c r="AH190" s="247">
        <f t="shared" si="40"/>
        <v>0</v>
      </c>
      <c r="AI190" s="249"/>
      <c r="AK190" s="240"/>
    </row>
    <row r="191" spans="1:37" x14ac:dyDescent="0.2">
      <c r="A191" s="248"/>
      <c r="B191" s="234"/>
      <c r="C191" s="235"/>
      <c r="D191" s="235"/>
      <c r="E191" s="235"/>
      <c r="F191" s="236"/>
      <c r="G191" s="239"/>
      <c r="H191" s="248"/>
      <c r="I191" s="234"/>
      <c r="J191" s="235"/>
      <c r="K191" s="235"/>
      <c r="L191" s="235"/>
      <c r="M191" s="236"/>
      <c r="N191" s="239"/>
      <c r="O191" s="520"/>
      <c r="P191" s="234" t="s">
        <v>226</v>
      </c>
      <c r="Q191" s="235"/>
      <c r="R191" s="235"/>
      <c r="S191" s="235"/>
      <c r="T191" s="236">
        <f t="shared" si="38"/>
        <v>0</v>
      </c>
      <c r="U191" s="239"/>
      <c r="V191" s="520"/>
      <c r="W191" s="234" t="s">
        <v>226</v>
      </c>
      <c r="X191" s="235">
        <f t="shared" si="36"/>
        <v>0</v>
      </c>
      <c r="Y191" s="235">
        <f t="shared" si="34"/>
        <v>0</v>
      </c>
      <c r="Z191" s="235">
        <f t="shared" si="41"/>
        <v>0</v>
      </c>
      <c r="AA191" s="247">
        <f t="shared" si="39"/>
        <v>0</v>
      </c>
      <c r="AB191" s="250"/>
      <c r="AC191" s="520"/>
      <c r="AD191" s="234" t="s">
        <v>226</v>
      </c>
      <c r="AE191" s="235">
        <f>AE190-AG190</f>
        <v>0</v>
      </c>
      <c r="AF191" s="235">
        <f t="shared" si="35"/>
        <v>0</v>
      </c>
      <c r="AG191" s="235">
        <f>AE$7/AF$8</f>
        <v>0</v>
      </c>
      <c r="AH191" s="247">
        <f t="shared" si="40"/>
        <v>0</v>
      </c>
      <c r="AI191" s="250"/>
      <c r="AK191" s="240"/>
    </row>
    <row r="192" spans="1:37" x14ac:dyDescent="0.2">
      <c r="A192" s="248"/>
      <c r="B192" s="234"/>
      <c r="C192" s="235"/>
      <c r="D192" s="235"/>
      <c r="E192" s="235"/>
      <c r="F192" s="236"/>
      <c r="G192" s="239"/>
      <c r="H192" s="248"/>
      <c r="I192" s="234"/>
      <c r="J192" s="235"/>
      <c r="K192" s="235"/>
      <c r="L192" s="235"/>
      <c r="M192" s="236"/>
      <c r="N192" s="239"/>
      <c r="O192" s="520"/>
      <c r="P192" s="234" t="s">
        <v>227</v>
      </c>
      <c r="Q192" s="235"/>
      <c r="R192" s="235"/>
      <c r="S192" s="235"/>
      <c r="T192" s="236">
        <f t="shared" si="38"/>
        <v>0</v>
      </c>
      <c r="U192" s="239"/>
      <c r="V192" s="520"/>
      <c r="W192" s="234" t="s">
        <v>227</v>
      </c>
      <c r="X192" s="235">
        <f t="shared" si="36"/>
        <v>0</v>
      </c>
      <c r="Y192" s="235">
        <f t="shared" si="34"/>
        <v>0</v>
      </c>
      <c r="Z192" s="235">
        <f t="shared" si="41"/>
        <v>0</v>
      </c>
      <c r="AA192" s="247">
        <f t="shared" si="39"/>
        <v>0</v>
      </c>
      <c r="AB192" s="250"/>
      <c r="AC192" s="520"/>
      <c r="AD192" s="234" t="s">
        <v>227</v>
      </c>
      <c r="AE192" s="235">
        <f t="shared" ref="AE192:AE203" si="42">AE191-AG191</f>
        <v>0</v>
      </c>
      <c r="AF192" s="235">
        <f t="shared" si="35"/>
        <v>0</v>
      </c>
      <c r="AG192" s="235">
        <f t="shared" ref="AG192:AG255" si="43">AE$7/AF$8</f>
        <v>0</v>
      </c>
      <c r="AH192" s="247">
        <f t="shared" si="40"/>
        <v>0</v>
      </c>
      <c r="AI192" s="250"/>
      <c r="AK192" s="240"/>
    </row>
    <row r="193" spans="1:37" x14ac:dyDescent="0.2">
      <c r="A193" s="248"/>
      <c r="B193" s="234"/>
      <c r="C193" s="235"/>
      <c r="D193" s="235"/>
      <c r="E193" s="235"/>
      <c r="F193" s="236"/>
      <c r="G193" s="239"/>
      <c r="H193" s="248"/>
      <c r="I193" s="234"/>
      <c r="J193" s="235"/>
      <c r="K193" s="235"/>
      <c r="L193" s="235"/>
      <c r="M193" s="236"/>
      <c r="N193" s="239"/>
      <c r="O193" s="520"/>
      <c r="P193" s="234" t="s">
        <v>228</v>
      </c>
      <c r="Q193" s="235"/>
      <c r="R193" s="235"/>
      <c r="S193" s="235"/>
      <c r="T193" s="236">
        <f t="shared" si="38"/>
        <v>0</v>
      </c>
      <c r="U193" s="239"/>
      <c r="V193" s="520"/>
      <c r="W193" s="234" t="s">
        <v>228</v>
      </c>
      <c r="X193" s="235">
        <f t="shared" si="36"/>
        <v>0</v>
      </c>
      <c r="Y193" s="235">
        <f t="shared" si="34"/>
        <v>0</v>
      </c>
      <c r="Z193" s="235">
        <f t="shared" si="41"/>
        <v>0</v>
      </c>
      <c r="AA193" s="247">
        <f t="shared" si="39"/>
        <v>0</v>
      </c>
      <c r="AB193" s="250"/>
      <c r="AC193" s="520"/>
      <c r="AD193" s="234" t="s">
        <v>228</v>
      </c>
      <c r="AE193" s="235">
        <f t="shared" si="42"/>
        <v>0</v>
      </c>
      <c r="AF193" s="235">
        <f t="shared" si="35"/>
        <v>0</v>
      </c>
      <c r="AG193" s="235">
        <f t="shared" si="43"/>
        <v>0</v>
      </c>
      <c r="AH193" s="247">
        <f t="shared" si="40"/>
        <v>0</v>
      </c>
      <c r="AI193" s="250"/>
      <c r="AK193" s="240"/>
    </row>
    <row r="194" spans="1:37" x14ac:dyDescent="0.2">
      <c r="A194" s="248"/>
      <c r="B194" s="234"/>
      <c r="C194" s="235"/>
      <c r="D194" s="235"/>
      <c r="E194" s="235"/>
      <c r="F194" s="236"/>
      <c r="G194" s="239"/>
      <c r="H194" s="248"/>
      <c r="I194" s="234"/>
      <c r="J194" s="235"/>
      <c r="K194" s="235"/>
      <c r="L194" s="235"/>
      <c r="M194" s="236"/>
      <c r="N194" s="239"/>
      <c r="O194" s="520"/>
      <c r="P194" s="234" t="s">
        <v>229</v>
      </c>
      <c r="Q194" s="235"/>
      <c r="R194" s="235"/>
      <c r="S194" s="235"/>
      <c r="T194" s="236">
        <f t="shared" si="38"/>
        <v>0</v>
      </c>
      <c r="U194" s="239"/>
      <c r="V194" s="520"/>
      <c r="W194" s="234" t="s">
        <v>229</v>
      </c>
      <c r="X194" s="235">
        <f t="shared" si="36"/>
        <v>0</v>
      </c>
      <c r="Y194" s="235">
        <f t="shared" si="34"/>
        <v>0</v>
      </c>
      <c r="Z194" s="235">
        <f t="shared" si="41"/>
        <v>0</v>
      </c>
      <c r="AA194" s="247">
        <f t="shared" si="39"/>
        <v>0</v>
      </c>
      <c r="AB194" s="250"/>
      <c r="AC194" s="520"/>
      <c r="AD194" s="234" t="s">
        <v>229</v>
      </c>
      <c r="AE194" s="235">
        <f t="shared" si="42"/>
        <v>0</v>
      </c>
      <c r="AF194" s="235">
        <f t="shared" si="35"/>
        <v>0</v>
      </c>
      <c r="AG194" s="235">
        <f t="shared" si="43"/>
        <v>0</v>
      </c>
      <c r="AH194" s="247">
        <f t="shared" si="40"/>
        <v>0</v>
      </c>
      <c r="AI194" s="250"/>
      <c r="AK194" s="240"/>
    </row>
    <row r="195" spans="1:37" x14ac:dyDescent="0.2">
      <c r="A195" s="248"/>
      <c r="B195" s="234"/>
      <c r="C195" s="235"/>
      <c r="D195" s="235"/>
      <c r="E195" s="235"/>
      <c r="F195" s="236"/>
      <c r="G195" s="239"/>
      <c r="H195" s="248"/>
      <c r="I195" s="234"/>
      <c r="J195" s="235"/>
      <c r="K195" s="235"/>
      <c r="L195" s="235"/>
      <c r="M195" s="236"/>
      <c r="N195" s="239"/>
      <c r="O195" s="520"/>
      <c r="P195" s="234" t="s">
        <v>230</v>
      </c>
      <c r="Q195" s="235"/>
      <c r="R195" s="235"/>
      <c r="S195" s="235"/>
      <c r="T195" s="236">
        <f t="shared" si="38"/>
        <v>0</v>
      </c>
      <c r="U195" s="239"/>
      <c r="V195" s="520"/>
      <c r="W195" s="234" t="s">
        <v>230</v>
      </c>
      <c r="X195" s="235">
        <f t="shared" si="36"/>
        <v>0</v>
      </c>
      <c r="Y195" s="235">
        <f t="shared" si="34"/>
        <v>0</v>
      </c>
      <c r="Z195" s="235">
        <f t="shared" si="41"/>
        <v>0</v>
      </c>
      <c r="AA195" s="247">
        <f t="shared" si="39"/>
        <v>0</v>
      </c>
      <c r="AB195" s="250"/>
      <c r="AC195" s="520"/>
      <c r="AD195" s="234" t="s">
        <v>230</v>
      </c>
      <c r="AE195" s="235">
        <f t="shared" si="42"/>
        <v>0</v>
      </c>
      <c r="AF195" s="235">
        <f t="shared" si="35"/>
        <v>0</v>
      </c>
      <c r="AG195" s="235">
        <f t="shared" si="43"/>
        <v>0</v>
      </c>
      <c r="AH195" s="247">
        <f t="shared" si="40"/>
        <v>0</v>
      </c>
      <c r="AI195" s="250"/>
      <c r="AK195" s="240"/>
    </row>
    <row r="196" spans="1:37" x14ac:dyDescent="0.2">
      <c r="A196" s="248"/>
      <c r="B196" s="234"/>
      <c r="C196" s="235"/>
      <c r="D196" s="235"/>
      <c r="E196" s="235"/>
      <c r="F196" s="236"/>
      <c r="G196" s="239"/>
      <c r="H196" s="248"/>
      <c r="I196" s="234"/>
      <c r="J196" s="235"/>
      <c r="K196" s="235"/>
      <c r="L196" s="235"/>
      <c r="M196" s="236"/>
      <c r="N196" s="239"/>
      <c r="O196" s="520"/>
      <c r="P196" s="234" t="s">
        <v>231</v>
      </c>
      <c r="Q196" s="235"/>
      <c r="R196" s="235"/>
      <c r="S196" s="235"/>
      <c r="T196" s="236">
        <f t="shared" si="38"/>
        <v>0</v>
      </c>
      <c r="U196" s="239"/>
      <c r="V196" s="520"/>
      <c r="W196" s="234" t="s">
        <v>231</v>
      </c>
      <c r="X196" s="235">
        <f t="shared" si="36"/>
        <v>0</v>
      </c>
      <c r="Y196" s="235">
        <f t="shared" si="34"/>
        <v>0</v>
      </c>
      <c r="Z196" s="235">
        <f t="shared" si="41"/>
        <v>0</v>
      </c>
      <c r="AA196" s="247">
        <f t="shared" si="39"/>
        <v>0</v>
      </c>
      <c r="AB196" s="250"/>
      <c r="AC196" s="520"/>
      <c r="AD196" s="234" t="s">
        <v>231</v>
      </c>
      <c r="AE196" s="235">
        <f t="shared" si="42"/>
        <v>0</v>
      </c>
      <c r="AF196" s="235">
        <f t="shared" si="35"/>
        <v>0</v>
      </c>
      <c r="AG196" s="235">
        <f t="shared" si="43"/>
        <v>0</v>
      </c>
      <c r="AH196" s="247">
        <f t="shared" si="40"/>
        <v>0</v>
      </c>
      <c r="AI196" s="250"/>
      <c r="AK196" s="240"/>
    </row>
    <row r="197" spans="1:37" x14ac:dyDescent="0.2">
      <c r="A197" s="248"/>
      <c r="B197" s="234"/>
      <c r="C197" s="235"/>
      <c r="D197" s="235"/>
      <c r="E197" s="235"/>
      <c r="F197" s="236"/>
      <c r="G197" s="239"/>
      <c r="H197" s="248"/>
      <c r="I197" s="234"/>
      <c r="J197" s="235"/>
      <c r="K197" s="235"/>
      <c r="L197" s="235"/>
      <c r="M197" s="236"/>
      <c r="N197" s="239"/>
      <c r="O197" s="520"/>
      <c r="P197" s="234" t="s">
        <v>232</v>
      </c>
      <c r="Q197" s="235"/>
      <c r="R197" s="235"/>
      <c r="S197" s="235"/>
      <c r="T197" s="236">
        <f t="shared" si="38"/>
        <v>0</v>
      </c>
      <c r="U197" s="239"/>
      <c r="V197" s="520"/>
      <c r="W197" s="234" t="s">
        <v>232</v>
      </c>
      <c r="X197" s="235">
        <f t="shared" si="36"/>
        <v>0</v>
      </c>
      <c r="Y197" s="235">
        <f t="shared" si="34"/>
        <v>0</v>
      </c>
      <c r="Z197" s="235">
        <f t="shared" si="41"/>
        <v>0</v>
      </c>
      <c r="AA197" s="247">
        <f t="shared" si="39"/>
        <v>0</v>
      </c>
      <c r="AB197" s="250"/>
      <c r="AC197" s="520"/>
      <c r="AD197" s="234" t="s">
        <v>232</v>
      </c>
      <c r="AE197" s="235">
        <f t="shared" si="42"/>
        <v>0</v>
      </c>
      <c r="AF197" s="235">
        <f t="shared" si="35"/>
        <v>0</v>
      </c>
      <c r="AG197" s="235">
        <f t="shared" si="43"/>
        <v>0</v>
      </c>
      <c r="AH197" s="247">
        <f t="shared" si="40"/>
        <v>0</v>
      </c>
      <c r="AI197" s="250"/>
      <c r="AK197" s="240"/>
    </row>
    <row r="198" spans="1:37" x14ac:dyDescent="0.2">
      <c r="A198" s="248"/>
      <c r="B198" s="234"/>
      <c r="C198" s="235"/>
      <c r="D198" s="235"/>
      <c r="E198" s="235"/>
      <c r="F198" s="236"/>
      <c r="G198" s="239"/>
      <c r="H198" s="248"/>
      <c r="I198" s="234"/>
      <c r="J198" s="235"/>
      <c r="K198" s="235"/>
      <c r="L198" s="235"/>
      <c r="M198" s="236"/>
      <c r="N198" s="239"/>
      <c r="O198" s="520"/>
      <c r="P198" s="234" t="s">
        <v>233</v>
      </c>
      <c r="Q198" s="235"/>
      <c r="R198" s="235"/>
      <c r="S198" s="235"/>
      <c r="T198" s="236">
        <f t="shared" si="38"/>
        <v>0</v>
      </c>
      <c r="U198" s="239"/>
      <c r="V198" s="520"/>
      <c r="W198" s="234" t="s">
        <v>233</v>
      </c>
      <c r="X198" s="235">
        <f t="shared" si="36"/>
        <v>0</v>
      </c>
      <c r="Y198" s="235">
        <f t="shared" si="34"/>
        <v>0</v>
      </c>
      <c r="Z198" s="235">
        <f t="shared" si="41"/>
        <v>0</v>
      </c>
      <c r="AA198" s="247">
        <f t="shared" si="39"/>
        <v>0</v>
      </c>
      <c r="AB198" s="250"/>
      <c r="AC198" s="520"/>
      <c r="AD198" s="234" t="s">
        <v>233</v>
      </c>
      <c r="AE198" s="235">
        <f t="shared" si="42"/>
        <v>0</v>
      </c>
      <c r="AF198" s="235">
        <f t="shared" si="35"/>
        <v>0</v>
      </c>
      <c r="AG198" s="235">
        <f t="shared" si="43"/>
        <v>0</v>
      </c>
      <c r="AH198" s="247">
        <f t="shared" si="40"/>
        <v>0</v>
      </c>
      <c r="AI198" s="250"/>
      <c r="AK198" s="240"/>
    </row>
    <row r="199" spans="1:37" x14ac:dyDescent="0.2">
      <c r="A199" s="248"/>
      <c r="B199" s="234"/>
      <c r="C199" s="235"/>
      <c r="D199" s="235"/>
      <c r="E199" s="235"/>
      <c r="F199" s="236"/>
      <c r="G199" s="239"/>
      <c r="H199" s="248"/>
      <c r="I199" s="234"/>
      <c r="J199" s="235"/>
      <c r="K199" s="235"/>
      <c r="L199" s="235"/>
      <c r="M199" s="236"/>
      <c r="N199" s="239"/>
      <c r="O199" s="520"/>
      <c r="P199" s="234" t="s">
        <v>234</v>
      </c>
      <c r="Q199" s="235"/>
      <c r="R199" s="235"/>
      <c r="S199" s="235"/>
      <c r="T199" s="236">
        <f t="shared" si="38"/>
        <v>0</v>
      </c>
      <c r="U199" s="239"/>
      <c r="V199" s="520"/>
      <c r="W199" s="234" t="s">
        <v>234</v>
      </c>
      <c r="X199" s="235">
        <f t="shared" si="36"/>
        <v>0</v>
      </c>
      <c r="Y199" s="235">
        <f t="shared" si="34"/>
        <v>0</v>
      </c>
      <c r="Z199" s="235">
        <f t="shared" si="41"/>
        <v>0</v>
      </c>
      <c r="AA199" s="247">
        <f t="shared" si="39"/>
        <v>0</v>
      </c>
      <c r="AB199" s="250"/>
      <c r="AC199" s="520"/>
      <c r="AD199" s="234" t="s">
        <v>234</v>
      </c>
      <c r="AE199" s="235">
        <f t="shared" si="42"/>
        <v>0</v>
      </c>
      <c r="AF199" s="235">
        <f t="shared" si="35"/>
        <v>0</v>
      </c>
      <c r="AG199" s="235">
        <f t="shared" si="43"/>
        <v>0</v>
      </c>
      <c r="AH199" s="247">
        <f t="shared" si="40"/>
        <v>0</v>
      </c>
      <c r="AI199" s="250"/>
      <c r="AK199" s="240"/>
    </row>
    <row r="200" spans="1:37" x14ac:dyDescent="0.2">
      <c r="A200" s="248"/>
      <c r="B200" s="234"/>
      <c r="C200" s="235"/>
      <c r="D200" s="235"/>
      <c r="E200" s="235"/>
      <c r="F200" s="236"/>
      <c r="G200" s="239"/>
      <c r="H200" s="248"/>
      <c r="I200" s="234"/>
      <c r="J200" s="235"/>
      <c r="K200" s="235"/>
      <c r="L200" s="235"/>
      <c r="M200" s="236"/>
      <c r="N200" s="239"/>
      <c r="O200" s="520"/>
      <c r="P200" s="234" t="s">
        <v>235</v>
      </c>
      <c r="Q200" s="235"/>
      <c r="R200" s="235"/>
      <c r="S200" s="235"/>
      <c r="T200" s="236">
        <f t="shared" si="38"/>
        <v>0</v>
      </c>
      <c r="U200" s="239"/>
      <c r="V200" s="520"/>
      <c r="W200" s="234" t="s">
        <v>235</v>
      </c>
      <c r="X200" s="235">
        <f t="shared" si="36"/>
        <v>0</v>
      </c>
      <c r="Y200" s="235">
        <f t="shared" si="34"/>
        <v>0</v>
      </c>
      <c r="Z200" s="235">
        <f t="shared" si="41"/>
        <v>0</v>
      </c>
      <c r="AA200" s="247">
        <f t="shared" si="39"/>
        <v>0</v>
      </c>
      <c r="AB200" s="250"/>
      <c r="AC200" s="520"/>
      <c r="AD200" s="234" t="s">
        <v>235</v>
      </c>
      <c r="AE200" s="235">
        <f t="shared" si="42"/>
        <v>0</v>
      </c>
      <c r="AF200" s="235">
        <f t="shared" si="35"/>
        <v>0</v>
      </c>
      <c r="AG200" s="235">
        <f t="shared" si="43"/>
        <v>0</v>
      </c>
      <c r="AH200" s="247">
        <f t="shared" si="40"/>
        <v>0</v>
      </c>
      <c r="AI200" s="250"/>
      <c r="AK200" s="240"/>
    </row>
    <row r="201" spans="1:37" x14ac:dyDescent="0.2">
      <c r="A201" s="248"/>
      <c r="B201" s="234"/>
      <c r="C201" s="235"/>
      <c r="D201" s="235"/>
      <c r="E201" s="235"/>
      <c r="F201" s="236"/>
      <c r="G201" s="239"/>
      <c r="H201" s="248"/>
      <c r="I201" s="234"/>
      <c r="J201" s="235"/>
      <c r="K201" s="235"/>
      <c r="L201" s="235"/>
      <c r="M201" s="236"/>
      <c r="N201" s="239"/>
      <c r="O201" s="521"/>
      <c r="P201" s="234" t="s">
        <v>236</v>
      </c>
      <c r="Q201" s="235"/>
      <c r="R201" s="235"/>
      <c r="S201" s="235"/>
      <c r="T201" s="236">
        <f t="shared" si="38"/>
        <v>0</v>
      </c>
      <c r="U201" s="239"/>
      <c r="V201" s="521"/>
      <c r="W201" s="234" t="s">
        <v>236</v>
      </c>
      <c r="X201" s="235">
        <f t="shared" si="36"/>
        <v>0</v>
      </c>
      <c r="Y201" s="235">
        <f t="shared" si="34"/>
        <v>0</v>
      </c>
      <c r="Z201" s="235">
        <f t="shared" si="41"/>
        <v>0</v>
      </c>
      <c r="AA201" s="247">
        <f t="shared" si="39"/>
        <v>0</v>
      </c>
      <c r="AB201" s="251">
        <f>SUM(Y190:Y201)</f>
        <v>0</v>
      </c>
      <c r="AC201" s="521"/>
      <c r="AD201" s="234" t="s">
        <v>236</v>
      </c>
      <c r="AE201" s="235">
        <f t="shared" si="42"/>
        <v>0</v>
      </c>
      <c r="AF201" s="235">
        <f t="shared" si="35"/>
        <v>0</v>
      </c>
      <c r="AG201" s="235">
        <f t="shared" si="43"/>
        <v>0</v>
      </c>
      <c r="AH201" s="247">
        <f t="shared" si="40"/>
        <v>0</v>
      </c>
      <c r="AI201" s="251">
        <f>SUM(AF190:AF201)</f>
        <v>0</v>
      </c>
      <c r="AJ201" s="208">
        <f>O190</f>
        <v>2036</v>
      </c>
      <c r="AK201" s="240">
        <f>G201+N201+U201+AB201+AI201</f>
        <v>0</v>
      </c>
    </row>
    <row r="202" spans="1:37" x14ac:dyDescent="0.2">
      <c r="A202" s="248"/>
      <c r="B202" s="234"/>
      <c r="C202" s="235"/>
      <c r="D202" s="235"/>
      <c r="E202" s="235"/>
      <c r="F202" s="236"/>
      <c r="G202" s="239"/>
      <c r="H202" s="248"/>
      <c r="I202" s="234"/>
      <c r="J202" s="235"/>
      <c r="K202" s="235"/>
      <c r="L202" s="235"/>
      <c r="M202" s="236"/>
      <c r="N202" s="239"/>
      <c r="O202" s="252"/>
      <c r="P202" s="234"/>
      <c r="Q202" s="235"/>
      <c r="R202" s="235"/>
      <c r="S202" s="235"/>
      <c r="T202" s="236"/>
      <c r="U202" s="239"/>
      <c r="V202" s="519">
        <v>2037</v>
      </c>
      <c r="W202" s="234" t="s">
        <v>225</v>
      </c>
      <c r="X202" s="235">
        <f t="shared" si="36"/>
        <v>0</v>
      </c>
      <c r="Y202" s="235">
        <f t="shared" si="34"/>
        <v>0</v>
      </c>
      <c r="Z202" s="235">
        <f t="shared" si="41"/>
        <v>0</v>
      </c>
      <c r="AA202" s="247">
        <f t="shared" si="39"/>
        <v>0</v>
      </c>
      <c r="AB202" s="237"/>
      <c r="AC202" s="519">
        <v>2037</v>
      </c>
      <c r="AD202" s="234" t="s">
        <v>225</v>
      </c>
      <c r="AE202" s="235">
        <f t="shared" si="42"/>
        <v>0</v>
      </c>
      <c r="AF202" s="235">
        <f t="shared" si="35"/>
        <v>0</v>
      </c>
      <c r="AG202" s="235">
        <f t="shared" si="43"/>
        <v>0</v>
      </c>
      <c r="AH202" s="247">
        <f t="shared" si="40"/>
        <v>0</v>
      </c>
      <c r="AI202" s="237"/>
      <c r="AK202" s="240"/>
    </row>
    <row r="203" spans="1:37" x14ac:dyDescent="0.2">
      <c r="A203" s="248"/>
      <c r="B203" s="234"/>
      <c r="C203" s="235"/>
      <c r="D203" s="235"/>
      <c r="E203" s="235"/>
      <c r="F203" s="236"/>
      <c r="G203" s="239"/>
      <c r="H203" s="248"/>
      <c r="I203" s="234"/>
      <c r="J203" s="235"/>
      <c r="K203" s="235"/>
      <c r="L203" s="235"/>
      <c r="M203" s="236"/>
      <c r="N203" s="239"/>
      <c r="O203" s="252"/>
      <c r="P203" s="234"/>
      <c r="Q203" s="235"/>
      <c r="R203" s="235"/>
      <c r="S203" s="235"/>
      <c r="T203" s="236"/>
      <c r="U203" s="239"/>
      <c r="V203" s="520"/>
      <c r="W203" s="234" t="s">
        <v>226</v>
      </c>
      <c r="X203" s="235">
        <f t="shared" si="36"/>
        <v>0</v>
      </c>
      <c r="Y203" s="235">
        <f t="shared" si="34"/>
        <v>0</v>
      </c>
      <c r="Z203" s="235">
        <f t="shared" si="41"/>
        <v>0</v>
      </c>
      <c r="AA203" s="247">
        <f t="shared" si="39"/>
        <v>0</v>
      </c>
      <c r="AB203" s="238"/>
      <c r="AC203" s="520"/>
      <c r="AD203" s="234" t="s">
        <v>226</v>
      </c>
      <c r="AE203" s="235">
        <f t="shared" si="42"/>
        <v>0</v>
      </c>
      <c r="AF203" s="235">
        <f t="shared" si="35"/>
        <v>0</v>
      </c>
      <c r="AG203" s="235">
        <f t="shared" si="43"/>
        <v>0</v>
      </c>
      <c r="AH203" s="247">
        <f t="shared" si="40"/>
        <v>0</v>
      </c>
      <c r="AI203" s="238"/>
      <c r="AK203" s="240"/>
    </row>
    <row r="204" spans="1:37" x14ac:dyDescent="0.2">
      <c r="A204" s="248"/>
      <c r="B204" s="234"/>
      <c r="C204" s="235"/>
      <c r="D204" s="235"/>
      <c r="E204" s="235"/>
      <c r="F204" s="236"/>
      <c r="G204" s="239"/>
      <c r="H204" s="248"/>
      <c r="I204" s="234"/>
      <c r="J204" s="235"/>
      <c r="K204" s="235"/>
      <c r="L204" s="235"/>
      <c r="M204" s="236"/>
      <c r="N204" s="239"/>
      <c r="O204" s="252"/>
      <c r="P204" s="234"/>
      <c r="Q204" s="235"/>
      <c r="R204" s="235"/>
      <c r="S204" s="235"/>
      <c r="T204" s="236"/>
      <c r="U204" s="239"/>
      <c r="V204" s="520"/>
      <c r="W204" s="234" t="s">
        <v>227</v>
      </c>
      <c r="X204" s="235">
        <f t="shared" si="36"/>
        <v>0</v>
      </c>
      <c r="Y204" s="235">
        <f t="shared" si="34"/>
        <v>0</v>
      </c>
      <c r="Z204" s="235">
        <f t="shared" si="41"/>
        <v>0</v>
      </c>
      <c r="AA204" s="247">
        <f t="shared" si="39"/>
        <v>0</v>
      </c>
      <c r="AB204" s="238"/>
      <c r="AC204" s="520"/>
      <c r="AD204" s="234" t="s">
        <v>227</v>
      </c>
      <c r="AE204" s="235">
        <f>AE203-AG203</f>
        <v>0</v>
      </c>
      <c r="AF204" s="235">
        <f t="shared" si="35"/>
        <v>0</v>
      </c>
      <c r="AG204" s="235">
        <f t="shared" si="43"/>
        <v>0</v>
      </c>
      <c r="AH204" s="247">
        <f t="shared" si="40"/>
        <v>0</v>
      </c>
      <c r="AI204" s="238"/>
      <c r="AK204" s="240"/>
    </row>
    <row r="205" spans="1:37" x14ac:dyDescent="0.2">
      <c r="A205" s="248"/>
      <c r="B205" s="234"/>
      <c r="C205" s="235"/>
      <c r="D205" s="235"/>
      <c r="E205" s="235"/>
      <c r="F205" s="236"/>
      <c r="G205" s="239"/>
      <c r="H205" s="248"/>
      <c r="I205" s="234"/>
      <c r="J205" s="235"/>
      <c r="K205" s="235"/>
      <c r="L205" s="235"/>
      <c r="M205" s="236"/>
      <c r="N205" s="239"/>
      <c r="O205" s="252"/>
      <c r="P205" s="234"/>
      <c r="Q205" s="235"/>
      <c r="R205" s="235"/>
      <c r="S205" s="235"/>
      <c r="T205" s="236"/>
      <c r="U205" s="239"/>
      <c r="V205" s="520"/>
      <c r="W205" s="234" t="s">
        <v>228</v>
      </c>
      <c r="X205" s="235">
        <f t="shared" si="36"/>
        <v>0</v>
      </c>
      <c r="Y205" s="235">
        <f t="shared" si="34"/>
        <v>0</v>
      </c>
      <c r="Z205" s="235">
        <f t="shared" si="41"/>
        <v>0</v>
      </c>
      <c r="AA205" s="247">
        <f t="shared" si="39"/>
        <v>0</v>
      </c>
      <c r="AB205" s="238"/>
      <c r="AC205" s="520"/>
      <c r="AD205" s="234" t="s">
        <v>228</v>
      </c>
      <c r="AE205" s="235">
        <f>AE204-AG204</f>
        <v>0</v>
      </c>
      <c r="AF205" s="235">
        <f t="shared" si="35"/>
        <v>0</v>
      </c>
      <c r="AG205" s="235">
        <f t="shared" si="43"/>
        <v>0</v>
      </c>
      <c r="AH205" s="247">
        <f t="shared" si="40"/>
        <v>0</v>
      </c>
      <c r="AI205" s="238"/>
      <c r="AK205" s="240"/>
    </row>
    <row r="206" spans="1:37" x14ac:dyDescent="0.2">
      <c r="A206" s="248"/>
      <c r="B206" s="234"/>
      <c r="C206" s="235"/>
      <c r="D206" s="235"/>
      <c r="E206" s="235"/>
      <c r="F206" s="236"/>
      <c r="G206" s="239"/>
      <c r="H206" s="248"/>
      <c r="I206" s="234"/>
      <c r="J206" s="235"/>
      <c r="K206" s="235"/>
      <c r="L206" s="235"/>
      <c r="M206" s="236"/>
      <c r="N206" s="239"/>
      <c r="O206" s="252"/>
      <c r="P206" s="234"/>
      <c r="Q206" s="235"/>
      <c r="R206" s="235"/>
      <c r="S206" s="235"/>
      <c r="T206" s="236"/>
      <c r="U206" s="239"/>
      <c r="V206" s="520"/>
      <c r="W206" s="234" t="s">
        <v>229</v>
      </c>
      <c r="X206" s="235">
        <f t="shared" si="36"/>
        <v>0</v>
      </c>
      <c r="Y206" s="235">
        <f t="shared" si="34"/>
        <v>0</v>
      </c>
      <c r="Z206" s="235">
        <f t="shared" si="41"/>
        <v>0</v>
      </c>
      <c r="AA206" s="247">
        <f t="shared" si="39"/>
        <v>0</v>
      </c>
      <c r="AB206" s="238"/>
      <c r="AC206" s="520"/>
      <c r="AD206" s="234" t="s">
        <v>229</v>
      </c>
      <c r="AE206" s="235">
        <f>AE205-AG205</f>
        <v>0</v>
      </c>
      <c r="AF206" s="235">
        <f t="shared" si="35"/>
        <v>0</v>
      </c>
      <c r="AG206" s="235">
        <f t="shared" si="43"/>
        <v>0</v>
      </c>
      <c r="AH206" s="247">
        <f t="shared" si="40"/>
        <v>0</v>
      </c>
      <c r="AI206" s="238"/>
      <c r="AK206" s="240"/>
    </row>
    <row r="207" spans="1:37" x14ac:dyDescent="0.2">
      <c r="A207" s="248"/>
      <c r="B207" s="234"/>
      <c r="C207" s="235"/>
      <c r="D207" s="235"/>
      <c r="E207" s="235"/>
      <c r="F207" s="236"/>
      <c r="G207" s="239"/>
      <c r="H207" s="248"/>
      <c r="I207" s="234"/>
      <c r="J207" s="235"/>
      <c r="K207" s="235"/>
      <c r="L207" s="235"/>
      <c r="M207" s="236"/>
      <c r="N207" s="239"/>
      <c r="O207" s="252"/>
      <c r="P207" s="234"/>
      <c r="Q207" s="235"/>
      <c r="R207" s="235"/>
      <c r="S207" s="235"/>
      <c r="T207" s="236"/>
      <c r="U207" s="239"/>
      <c r="V207" s="520"/>
      <c r="W207" s="234" t="s">
        <v>230</v>
      </c>
      <c r="X207" s="235">
        <f t="shared" si="36"/>
        <v>0</v>
      </c>
      <c r="Y207" s="235">
        <f t="shared" si="34"/>
        <v>0</v>
      </c>
      <c r="Z207" s="235">
        <f t="shared" si="41"/>
        <v>0</v>
      </c>
      <c r="AA207" s="247">
        <f t="shared" si="39"/>
        <v>0</v>
      </c>
      <c r="AB207" s="238"/>
      <c r="AC207" s="520"/>
      <c r="AD207" s="234" t="s">
        <v>230</v>
      </c>
      <c r="AE207" s="235">
        <f t="shared" ref="AE207:AE270" si="44">AE206-AG206</f>
        <v>0</v>
      </c>
      <c r="AF207" s="235">
        <f t="shared" si="35"/>
        <v>0</v>
      </c>
      <c r="AG207" s="235">
        <f t="shared" si="43"/>
        <v>0</v>
      </c>
      <c r="AH207" s="247">
        <f t="shared" si="40"/>
        <v>0</v>
      </c>
      <c r="AI207" s="238"/>
      <c r="AK207" s="240"/>
    </row>
    <row r="208" spans="1:37" x14ac:dyDescent="0.2">
      <c r="A208" s="248"/>
      <c r="B208" s="234"/>
      <c r="C208" s="235"/>
      <c r="D208" s="235"/>
      <c r="E208" s="235"/>
      <c r="F208" s="236"/>
      <c r="G208" s="239"/>
      <c r="H208" s="248"/>
      <c r="I208" s="234"/>
      <c r="J208" s="235"/>
      <c r="K208" s="235"/>
      <c r="L208" s="235"/>
      <c r="M208" s="236"/>
      <c r="N208" s="239"/>
      <c r="O208" s="252"/>
      <c r="P208" s="234"/>
      <c r="Q208" s="235"/>
      <c r="R208" s="235"/>
      <c r="S208" s="235"/>
      <c r="T208" s="236"/>
      <c r="U208" s="239"/>
      <c r="V208" s="520"/>
      <c r="W208" s="234" t="s">
        <v>231</v>
      </c>
      <c r="X208" s="235">
        <f t="shared" si="36"/>
        <v>0</v>
      </c>
      <c r="Y208" s="235">
        <f t="shared" si="34"/>
        <v>0</v>
      </c>
      <c r="Z208" s="235">
        <f t="shared" si="41"/>
        <v>0</v>
      </c>
      <c r="AA208" s="247">
        <f t="shared" si="39"/>
        <v>0</v>
      </c>
      <c r="AB208" s="238"/>
      <c r="AC208" s="520"/>
      <c r="AD208" s="234" t="s">
        <v>231</v>
      </c>
      <c r="AE208" s="235">
        <f t="shared" si="44"/>
        <v>0</v>
      </c>
      <c r="AF208" s="235">
        <f t="shared" si="35"/>
        <v>0</v>
      </c>
      <c r="AG208" s="235">
        <f t="shared" si="43"/>
        <v>0</v>
      </c>
      <c r="AH208" s="247">
        <f t="shared" si="40"/>
        <v>0</v>
      </c>
      <c r="AI208" s="238"/>
      <c r="AK208" s="240"/>
    </row>
    <row r="209" spans="1:37" x14ac:dyDescent="0.2">
      <c r="A209" s="248"/>
      <c r="B209" s="234"/>
      <c r="C209" s="235"/>
      <c r="D209" s="235"/>
      <c r="E209" s="235"/>
      <c r="F209" s="236"/>
      <c r="G209" s="239"/>
      <c r="H209" s="248"/>
      <c r="I209" s="234"/>
      <c r="J209" s="235"/>
      <c r="K209" s="235"/>
      <c r="L209" s="235"/>
      <c r="M209" s="236"/>
      <c r="N209" s="239"/>
      <c r="O209" s="252"/>
      <c r="P209" s="234"/>
      <c r="Q209" s="235"/>
      <c r="R209" s="235"/>
      <c r="S209" s="235"/>
      <c r="T209" s="236"/>
      <c r="U209" s="239"/>
      <c r="V209" s="520"/>
      <c r="W209" s="234" t="s">
        <v>232</v>
      </c>
      <c r="X209" s="235">
        <f t="shared" si="36"/>
        <v>0</v>
      </c>
      <c r="Y209" s="235">
        <f t="shared" si="34"/>
        <v>0</v>
      </c>
      <c r="Z209" s="235">
        <f t="shared" si="41"/>
        <v>0</v>
      </c>
      <c r="AA209" s="247">
        <f t="shared" si="39"/>
        <v>0</v>
      </c>
      <c r="AB209" s="238"/>
      <c r="AC209" s="520"/>
      <c r="AD209" s="234" t="s">
        <v>232</v>
      </c>
      <c r="AE209" s="235">
        <f t="shared" si="44"/>
        <v>0</v>
      </c>
      <c r="AF209" s="235">
        <f t="shared" si="35"/>
        <v>0</v>
      </c>
      <c r="AG209" s="235">
        <f t="shared" si="43"/>
        <v>0</v>
      </c>
      <c r="AH209" s="247">
        <f t="shared" si="40"/>
        <v>0</v>
      </c>
      <c r="AI209" s="238"/>
      <c r="AK209" s="240"/>
    </row>
    <row r="210" spans="1:37" x14ac:dyDescent="0.2">
      <c r="A210" s="248"/>
      <c r="B210" s="234"/>
      <c r="C210" s="235"/>
      <c r="D210" s="235"/>
      <c r="E210" s="235"/>
      <c r="F210" s="236"/>
      <c r="G210" s="239"/>
      <c r="H210" s="248"/>
      <c r="I210" s="234"/>
      <c r="J210" s="235"/>
      <c r="K210" s="235"/>
      <c r="L210" s="235"/>
      <c r="M210" s="236"/>
      <c r="N210" s="239"/>
      <c r="O210" s="252"/>
      <c r="P210" s="234"/>
      <c r="Q210" s="235"/>
      <c r="R210" s="235"/>
      <c r="S210" s="235"/>
      <c r="T210" s="236"/>
      <c r="U210" s="239"/>
      <c r="V210" s="520"/>
      <c r="W210" s="234" t="s">
        <v>233</v>
      </c>
      <c r="X210" s="235">
        <f t="shared" si="36"/>
        <v>0</v>
      </c>
      <c r="Y210" s="235">
        <f t="shared" si="34"/>
        <v>0</v>
      </c>
      <c r="Z210" s="235">
        <f t="shared" si="41"/>
        <v>0</v>
      </c>
      <c r="AA210" s="247">
        <f t="shared" si="39"/>
        <v>0</v>
      </c>
      <c r="AB210" s="238"/>
      <c r="AC210" s="520"/>
      <c r="AD210" s="234" t="s">
        <v>233</v>
      </c>
      <c r="AE210" s="235">
        <f t="shared" si="44"/>
        <v>0</v>
      </c>
      <c r="AF210" s="235">
        <f t="shared" si="35"/>
        <v>0</v>
      </c>
      <c r="AG210" s="235">
        <f t="shared" si="43"/>
        <v>0</v>
      </c>
      <c r="AH210" s="247">
        <f t="shared" si="40"/>
        <v>0</v>
      </c>
      <c r="AI210" s="238"/>
      <c r="AK210" s="240"/>
    </row>
    <row r="211" spans="1:37" x14ac:dyDescent="0.2">
      <c r="A211" s="248"/>
      <c r="B211" s="234"/>
      <c r="C211" s="235"/>
      <c r="D211" s="235"/>
      <c r="E211" s="235"/>
      <c r="F211" s="236"/>
      <c r="G211" s="239"/>
      <c r="H211" s="248"/>
      <c r="I211" s="234"/>
      <c r="J211" s="235"/>
      <c r="K211" s="235"/>
      <c r="L211" s="235"/>
      <c r="M211" s="236"/>
      <c r="N211" s="239"/>
      <c r="O211" s="252"/>
      <c r="P211" s="234"/>
      <c r="Q211" s="235"/>
      <c r="R211" s="235"/>
      <c r="S211" s="235"/>
      <c r="T211" s="236"/>
      <c r="U211" s="239"/>
      <c r="V211" s="520"/>
      <c r="W211" s="234" t="s">
        <v>234</v>
      </c>
      <c r="X211" s="235">
        <f t="shared" si="36"/>
        <v>0</v>
      </c>
      <c r="Y211" s="235">
        <f t="shared" si="34"/>
        <v>0</v>
      </c>
      <c r="Z211" s="235">
        <f t="shared" si="41"/>
        <v>0</v>
      </c>
      <c r="AA211" s="247">
        <f t="shared" si="39"/>
        <v>0</v>
      </c>
      <c r="AB211" s="238"/>
      <c r="AC211" s="520"/>
      <c r="AD211" s="234" t="s">
        <v>234</v>
      </c>
      <c r="AE211" s="235">
        <f t="shared" si="44"/>
        <v>0</v>
      </c>
      <c r="AF211" s="235">
        <f t="shared" si="35"/>
        <v>0</v>
      </c>
      <c r="AG211" s="235">
        <f t="shared" si="43"/>
        <v>0</v>
      </c>
      <c r="AH211" s="247">
        <f t="shared" si="40"/>
        <v>0</v>
      </c>
      <c r="AI211" s="238"/>
      <c r="AK211" s="240"/>
    </row>
    <row r="212" spans="1:37" x14ac:dyDescent="0.2">
      <c r="A212" s="248"/>
      <c r="B212" s="234"/>
      <c r="C212" s="235"/>
      <c r="D212" s="235"/>
      <c r="E212" s="235"/>
      <c r="F212" s="236"/>
      <c r="G212" s="239"/>
      <c r="H212" s="248"/>
      <c r="I212" s="234"/>
      <c r="J212" s="235"/>
      <c r="K212" s="235"/>
      <c r="L212" s="235"/>
      <c r="M212" s="236"/>
      <c r="N212" s="239"/>
      <c r="O212" s="252"/>
      <c r="P212" s="234"/>
      <c r="Q212" s="235"/>
      <c r="R212" s="235"/>
      <c r="S212" s="235"/>
      <c r="T212" s="236"/>
      <c r="U212" s="239"/>
      <c r="V212" s="520"/>
      <c r="W212" s="234" t="s">
        <v>235</v>
      </c>
      <c r="X212" s="235">
        <f t="shared" si="36"/>
        <v>0</v>
      </c>
      <c r="Y212" s="235">
        <f t="shared" si="34"/>
        <v>0</v>
      </c>
      <c r="Z212" s="235">
        <f t="shared" si="41"/>
        <v>0</v>
      </c>
      <c r="AA212" s="247">
        <f t="shared" si="39"/>
        <v>0</v>
      </c>
      <c r="AB212" s="238"/>
      <c r="AC212" s="520"/>
      <c r="AD212" s="234" t="s">
        <v>235</v>
      </c>
      <c r="AE212" s="235">
        <f t="shared" si="44"/>
        <v>0</v>
      </c>
      <c r="AF212" s="235">
        <f t="shared" si="35"/>
        <v>0</v>
      </c>
      <c r="AG212" s="235">
        <f t="shared" si="43"/>
        <v>0</v>
      </c>
      <c r="AH212" s="247">
        <f t="shared" si="40"/>
        <v>0</v>
      </c>
      <c r="AI212" s="238"/>
      <c r="AK212" s="240"/>
    </row>
    <row r="213" spans="1:37" x14ac:dyDescent="0.2">
      <c r="A213" s="248"/>
      <c r="B213" s="234"/>
      <c r="C213" s="235"/>
      <c r="D213" s="235"/>
      <c r="E213" s="235"/>
      <c r="F213" s="236"/>
      <c r="G213" s="239"/>
      <c r="H213" s="248"/>
      <c r="I213" s="234"/>
      <c r="J213" s="235"/>
      <c r="K213" s="235"/>
      <c r="L213" s="235"/>
      <c r="M213" s="236"/>
      <c r="N213" s="239"/>
      <c r="O213" s="252"/>
      <c r="P213" s="234"/>
      <c r="Q213" s="235"/>
      <c r="R213" s="235"/>
      <c r="S213" s="235"/>
      <c r="T213" s="236"/>
      <c r="U213" s="239"/>
      <c r="V213" s="521"/>
      <c r="W213" s="234" t="s">
        <v>236</v>
      </c>
      <c r="X213" s="235">
        <f t="shared" si="36"/>
        <v>0</v>
      </c>
      <c r="Y213" s="235">
        <f t="shared" si="34"/>
        <v>0</v>
      </c>
      <c r="Z213" s="235">
        <f t="shared" si="41"/>
        <v>0</v>
      </c>
      <c r="AA213" s="247">
        <f t="shared" si="39"/>
        <v>0</v>
      </c>
      <c r="AB213" s="239">
        <f>SUM(Y202:Y213)</f>
        <v>0</v>
      </c>
      <c r="AC213" s="521"/>
      <c r="AD213" s="234" t="s">
        <v>236</v>
      </c>
      <c r="AE213" s="235">
        <f t="shared" si="44"/>
        <v>0</v>
      </c>
      <c r="AF213" s="235">
        <f t="shared" si="35"/>
        <v>0</v>
      </c>
      <c r="AG213" s="235">
        <f t="shared" si="43"/>
        <v>0</v>
      </c>
      <c r="AH213" s="247">
        <f t="shared" si="40"/>
        <v>0</v>
      </c>
      <c r="AI213" s="239">
        <f>SUM(AF202:AF213)</f>
        <v>0</v>
      </c>
      <c r="AJ213" s="208">
        <f>V202</f>
        <v>2037</v>
      </c>
      <c r="AK213" s="240">
        <f>G213+N213+U213+AB213+AI213</f>
        <v>0</v>
      </c>
    </row>
    <row r="214" spans="1:37" x14ac:dyDescent="0.2">
      <c r="A214" s="248"/>
      <c r="B214" s="234"/>
      <c r="C214" s="235"/>
      <c r="D214" s="235"/>
      <c r="E214" s="235"/>
      <c r="F214" s="236"/>
      <c r="G214" s="239"/>
      <c r="H214" s="248"/>
      <c r="I214" s="234"/>
      <c r="J214" s="235"/>
      <c r="K214" s="235"/>
      <c r="L214" s="235"/>
      <c r="M214" s="236"/>
      <c r="N214" s="239"/>
      <c r="O214" s="252"/>
      <c r="P214" s="234"/>
      <c r="Q214" s="235"/>
      <c r="R214" s="235"/>
      <c r="S214" s="235"/>
      <c r="T214" s="236"/>
      <c r="U214" s="239"/>
      <c r="V214" s="519">
        <v>2038</v>
      </c>
      <c r="W214" s="234" t="s">
        <v>225</v>
      </c>
      <c r="X214" s="235">
        <f t="shared" si="36"/>
        <v>0</v>
      </c>
      <c r="Y214" s="235">
        <f t="shared" si="34"/>
        <v>0</v>
      </c>
      <c r="Z214" s="235">
        <f t="shared" si="41"/>
        <v>0</v>
      </c>
      <c r="AA214" s="247">
        <f t="shared" si="39"/>
        <v>0</v>
      </c>
      <c r="AB214" s="237"/>
      <c r="AC214" s="519">
        <v>2038</v>
      </c>
      <c r="AD214" s="234" t="s">
        <v>225</v>
      </c>
      <c r="AE214" s="235">
        <f t="shared" si="44"/>
        <v>0</v>
      </c>
      <c r="AF214" s="235">
        <f t="shared" si="35"/>
        <v>0</v>
      </c>
      <c r="AG214" s="235">
        <f t="shared" si="43"/>
        <v>0</v>
      </c>
      <c r="AH214" s="247">
        <f t="shared" si="40"/>
        <v>0</v>
      </c>
      <c r="AI214" s="237"/>
      <c r="AK214" s="240"/>
    </row>
    <row r="215" spans="1:37" x14ac:dyDescent="0.2">
      <c r="A215" s="248"/>
      <c r="B215" s="234"/>
      <c r="C215" s="235"/>
      <c r="D215" s="235"/>
      <c r="E215" s="235"/>
      <c r="F215" s="236"/>
      <c r="G215" s="239"/>
      <c r="H215" s="248"/>
      <c r="I215" s="234"/>
      <c r="J215" s="235"/>
      <c r="K215" s="235"/>
      <c r="L215" s="235"/>
      <c r="M215" s="236"/>
      <c r="N215" s="239"/>
      <c r="O215" s="252"/>
      <c r="P215" s="234"/>
      <c r="Q215" s="235"/>
      <c r="R215" s="235"/>
      <c r="S215" s="235"/>
      <c r="T215" s="236"/>
      <c r="U215" s="239"/>
      <c r="V215" s="520"/>
      <c r="W215" s="234" t="s">
        <v>226</v>
      </c>
      <c r="X215" s="235">
        <f t="shared" si="36"/>
        <v>0</v>
      </c>
      <c r="Y215" s="235">
        <f t="shared" si="34"/>
        <v>0</v>
      </c>
      <c r="Z215" s="235">
        <f t="shared" si="41"/>
        <v>0</v>
      </c>
      <c r="AA215" s="247">
        <f t="shared" si="39"/>
        <v>0</v>
      </c>
      <c r="AB215" s="238"/>
      <c r="AC215" s="520"/>
      <c r="AD215" s="234" t="s">
        <v>226</v>
      </c>
      <c r="AE215" s="235">
        <f t="shared" si="44"/>
        <v>0</v>
      </c>
      <c r="AF215" s="235">
        <f t="shared" si="35"/>
        <v>0</v>
      </c>
      <c r="AG215" s="235">
        <f t="shared" si="43"/>
        <v>0</v>
      </c>
      <c r="AH215" s="247">
        <f t="shared" si="40"/>
        <v>0</v>
      </c>
      <c r="AI215" s="238"/>
      <c r="AK215" s="240"/>
    </row>
    <row r="216" spans="1:37" x14ac:dyDescent="0.2">
      <c r="A216" s="248"/>
      <c r="B216" s="234"/>
      <c r="C216" s="235"/>
      <c r="D216" s="235"/>
      <c r="E216" s="235"/>
      <c r="F216" s="236"/>
      <c r="G216" s="239"/>
      <c r="H216" s="248"/>
      <c r="I216" s="234"/>
      <c r="J216" s="235"/>
      <c r="K216" s="235"/>
      <c r="L216" s="235"/>
      <c r="M216" s="236"/>
      <c r="N216" s="239"/>
      <c r="O216" s="252"/>
      <c r="P216" s="234"/>
      <c r="Q216" s="235"/>
      <c r="R216" s="235"/>
      <c r="S216" s="235"/>
      <c r="T216" s="236"/>
      <c r="U216" s="239"/>
      <c r="V216" s="520"/>
      <c r="W216" s="234" t="s">
        <v>227</v>
      </c>
      <c r="X216" s="235">
        <f t="shared" si="36"/>
        <v>0</v>
      </c>
      <c r="Y216" s="235">
        <f t="shared" si="34"/>
        <v>0</v>
      </c>
      <c r="Z216" s="235">
        <f t="shared" si="41"/>
        <v>0</v>
      </c>
      <c r="AA216" s="247">
        <f t="shared" si="39"/>
        <v>0</v>
      </c>
      <c r="AB216" s="238"/>
      <c r="AC216" s="520"/>
      <c r="AD216" s="234" t="s">
        <v>227</v>
      </c>
      <c r="AE216" s="235">
        <f t="shared" si="44"/>
        <v>0</v>
      </c>
      <c r="AF216" s="235">
        <f t="shared" si="35"/>
        <v>0</v>
      </c>
      <c r="AG216" s="235">
        <f t="shared" si="43"/>
        <v>0</v>
      </c>
      <c r="AH216" s="247">
        <f t="shared" si="40"/>
        <v>0</v>
      </c>
      <c r="AI216" s="238"/>
      <c r="AK216" s="240"/>
    </row>
    <row r="217" spans="1:37" x14ac:dyDescent="0.2">
      <c r="A217" s="248"/>
      <c r="B217" s="234"/>
      <c r="C217" s="235"/>
      <c r="D217" s="235"/>
      <c r="E217" s="235"/>
      <c r="F217" s="236"/>
      <c r="G217" s="239"/>
      <c r="H217" s="248"/>
      <c r="I217" s="234"/>
      <c r="J217" s="235"/>
      <c r="K217" s="235"/>
      <c r="L217" s="235"/>
      <c r="M217" s="236"/>
      <c r="N217" s="239"/>
      <c r="O217" s="252"/>
      <c r="P217" s="234"/>
      <c r="Q217" s="235"/>
      <c r="R217" s="235"/>
      <c r="S217" s="235"/>
      <c r="T217" s="236"/>
      <c r="U217" s="239"/>
      <c r="V217" s="520"/>
      <c r="W217" s="234" t="s">
        <v>228</v>
      </c>
      <c r="X217" s="235">
        <f t="shared" si="36"/>
        <v>0</v>
      </c>
      <c r="Y217" s="235">
        <f t="shared" si="34"/>
        <v>0</v>
      </c>
      <c r="Z217" s="235">
        <f t="shared" si="41"/>
        <v>0</v>
      </c>
      <c r="AA217" s="247">
        <f t="shared" si="39"/>
        <v>0</v>
      </c>
      <c r="AB217" s="238"/>
      <c r="AC217" s="520"/>
      <c r="AD217" s="234" t="s">
        <v>228</v>
      </c>
      <c r="AE217" s="235">
        <f t="shared" si="44"/>
        <v>0</v>
      </c>
      <c r="AF217" s="235">
        <f t="shared" si="35"/>
        <v>0</v>
      </c>
      <c r="AG217" s="235">
        <f t="shared" si="43"/>
        <v>0</v>
      </c>
      <c r="AH217" s="247">
        <f t="shared" si="40"/>
        <v>0</v>
      </c>
      <c r="AI217" s="238"/>
      <c r="AK217" s="240"/>
    </row>
    <row r="218" spans="1:37" x14ac:dyDescent="0.2">
      <c r="A218" s="248"/>
      <c r="B218" s="234"/>
      <c r="C218" s="235"/>
      <c r="D218" s="235"/>
      <c r="E218" s="235"/>
      <c r="F218" s="236"/>
      <c r="G218" s="239"/>
      <c r="H218" s="248"/>
      <c r="I218" s="234"/>
      <c r="J218" s="235"/>
      <c r="K218" s="235"/>
      <c r="L218" s="235"/>
      <c r="M218" s="236"/>
      <c r="N218" s="239"/>
      <c r="O218" s="252"/>
      <c r="P218" s="234"/>
      <c r="Q218" s="235"/>
      <c r="R218" s="235"/>
      <c r="S218" s="235"/>
      <c r="T218" s="236"/>
      <c r="U218" s="239"/>
      <c r="V218" s="520"/>
      <c r="W218" s="234" t="s">
        <v>229</v>
      </c>
      <c r="X218" s="235">
        <f t="shared" si="36"/>
        <v>0</v>
      </c>
      <c r="Y218" s="235">
        <f t="shared" si="34"/>
        <v>0</v>
      </c>
      <c r="Z218" s="235">
        <f t="shared" si="41"/>
        <v>0</v>
      </c>
      <c r="AA218" s="247">
        <f t="shared" si="39"/>
        <v>0</v>
      </c>
      <c r="AB218" s="238"/>
      <c r="AC218" s="520"/>
      <c r="AD218" s="234" t="s">
        <v>229</v>
      </c>
      <c r="AE218" s="235">
        <f t="shared" si="44"/>
        <v>0</v>
      </c>
      <c r="AF218" s="235">
        <f t="shared" si="35"/>
        <v>0</v>
      </c>
      <c r="AG218" s="235">
        <f t="shared" si="43"/>
        <v>0</v>
      </c>
      <c r="AH218" s="247">
        <f t="shared" si="40"/>
        <v>0</v>
      </c>
      <c r="AI218" s="238"/>
      <c r="AK218" s="240"/>
    </row>
    <row r="219" spans="1:37" x14ac:dyDescent="0.2">
      <c r="A219" s="248"/>
      <c r="B219" s="234"/>
      <c r="C219" s="235"/>
      <c r="D219" s="235"/>
      <c r="E219" s="235"/>
      <c r="F219" s="236"/>
      <c r="G219" s="239"/>
      <c r="H219" s="248"/>
      <c r="I219" s="234"/>
      <c r="J219" s="235"/>
      <c r="K219" s="235"/>
      <c r="L219" s="235"/>
      <c r="M219" s="236"/>
      <c r="N219" s="239"/>
      <c r="O219" s="252"/>
      <c r="P219" s="234"/>
      <c r="Q219" s="235"/>
      <c r="R219" s="235"/>
      <c r="S219" s="235"/>
      <c r="T219" s="236"/>
      <c r="U219" s="239"/>
      <c r="V219" s="520"/>
      <c r="W219" s="234" t="s">
        <v>230</v>
      </c>
      <c r="X219" s="235">
        <f t="shared" si="36"/>
        <v>0</v>
      </c>
      <c r="Y219" s="235">
        <f t="shared" ref="Y219:Y273" si="45">X219*$Y$7/12</f>
        <v>0</v>
      </c>
      <c r="Z219" s="235">
        <f t="shared" si="41"/>
        <v>0</v>
      </c>
      <c r="AA219" s="247">
        <f t="shared" si="39"/>
        <v>0</v>
      </c>
      <c r="AB219" s="238"/>
      <c r="AC219" s="520"/>
      <c r="AD219" s="234" t="s">
        <v>230</v>
      </c>
      <c r="AE219" s="235">
        <f t="shared" si="44"/>
        <v>0</v>
      </c>
      <c r="AF219" s="235">
        <f t="shared" ref="AF219:AF282" si="46">AE219*$Y$7/12</f>
        <v>0</v>
      </c>
      <c r="AG219" s="235">
        <f t="shared" si="43"/>
        <v>0</v>
      </c>
      <c r="AH219" s="247">
        <f t="shared" si="40"/>
        <v>0</v>
      </c>
      <c r="AI219" s="238"/>
      <c r="AK219" s="240"/>
    </row>
    <row r="220" spans="1:37" x14ac:dyDescent="0.2">
      <c r="A220" s="248"/>
      <c r="B220" s="234"/>
      <c r="C220" s="235"/>
      <c r="D220" s="235"/>
      <c r="E220" s="235"/>
      <c r="F220" s="236"/>
      <c r="G220" s="239"/>
      <c r="H220" s="248"/>
      <c r="I220" s="234"/>
      <c r="J220" s="235"/>
      <c r="K220" s="235"/>
      <c r="L220" s="235"/>
      <c r="M220" s="236"/>
      <c r="N220" s="239"/>
      <c r="O220" s="252"/>
      <c r="P220" s="234"/>
      <c r="Q220" s="235"/>
      <c r="R220" s="235"/>
      <c r="S220" s="235"/>
      <c r="T220" s="236"/>
      <c r="U220" s="239"/>
      <c r="V220" s="520"/>
      <c r="W220" s="234" t="s">
        <v>231</v>
      </c>
      <c r="X220" s="235">
        <f t="shared" ref="X220:X273" si="47">X219-Z219</f>
        <v>0</v>
      </c>
      <c r="Y220" s="235">
        <f t="shared" si="45"/>
        <v>0</v>
      </c>
      <c r="Z220" s="235">
        <f t="shared" si="41"/>
        <v>0</v>
      </c>
      <c r="AA220" s="247">
        <f t="shared" si="39"/>
        <v>0</v>
      </c>
      <c r="AB220" s="238"/>
      <c r="AC220" s="520"/>
      <c r="AD220" s="234" t="s">
        <v>231</v>
      </c>
      <c r="AE220" s="235">
        <f t="shared" si="44"/>
        <v>0</v>
      </c>
      <c r="AF220" s="235">
        <f t="shared" si="46"/>
        <v>0</v>
      </c>
      <c r="AG220" s="235">
        <f t="shared" si="43"/>
        <v>0</v>
      </c>
      <c r="AH220" s="247">
        <f t="shared" si="40"/>
        <v>0</v>
      </c>
      <c r="AI220" s="238"/>
      <c r="AK220" s="240"/>
    </row>
    <row r="221" spans="1:37" x14ac:dyDescent="0.2">
      <c r="A221" s="248"/>
      <c r="B221" s="234"/>
      <c r="C221" s="235"/>
      <c r="D221" s="235"/>
      <c r="E221" s="235"/>
      <c r="F221" s="236"/>
      <c r="G221" s="239"/>
      <c r="H221" s="248"/>
      <c r="I221" s="234"/>
      <c r="J221" s="235"/>
      <c r="K221" s="235"/>
      <c r="L221" s="235"/>
      <c r="M221" s="236"/>
      <c r="N221" s="239"/>
      <c r="O221" s="252"/>
      <c r="P221" s="234"/>
      <c r="Q221" s="235"/>
      <c r="R221" s="235"/>
      <c r="S221" s="235"/>
      <c r="T221" s="236"/>
      <c r="U221" s="239"/>
      <c r="V221" s="520"/>
      <c r="W221" s="234" t="s">
        <v>232</v>
      </c>
      <c r="X221" s="235">
        <f t="shared" si="47"/>
        <v>0</v>
      </c>
      <c r="Y221" s="235">
        <f t="shared" si="45"/>
        <v>0</v>
      </c>
      <c r="Z221" s="235">
        <f t="shared" si="41"/>
        <v>0</v>
      </c>
      <c r="AA221" s="247">
        <f t="shared" si="39"/>
        <v>0</v>
      </c>
      <c r="AB221" s="238"/>
      <c r="AC221" s="520"/>
      <c r="AD221" s="234" t="s">
        <v>232</v>
      </c>
      <c r="AE221" s="235">
        <f t="shared" si="44"/>
        <v>0</v>
      </c>
      <c r="AF221" s="235">
        <f t="shared" si="46"/>
        <v>0</v>
      </c>
      <c r="AG221" s="235">
        <f t="shared" si="43"/>
        <v>0</v>
      </c>
      <c r="AH221" s="247">
        <f t="shared" si="40"/>
        <v>0</v>
      </c>
      <c r="AI221" s="238"/>
      <c r="AK221" s="240"/>
    </row>
    <row r="222" spans="1:37" x14ac:dyDescent="0.2">
      <c r="A222" s="248"/>
      <c r="B222" s="234"/>
      <c r="C222" s="235"/>
      <c r="D222" s="235"/>
      <c r="E222" s="235"/>
      <c r="F222" s="236"/>
      <c r="G222" s="239"/>
      <c r="H222" s="248"/>
      <c r="I222" s="234"/>
      <c r="J222" s="235"/>
      <c r="K222" s="235"/>
      <c r="L222" s="235"/>
      <c r="M222" s="236"/>
      <c r="N222" s="239"/>
      <c r="O222" s="252"/>
      <c r="P222" s="234"/>
      <c r="Q222" s="235"/>
      <c r="R222" s="235"/>
      <c r="S222" s="235"/>
      <c r="T222" s="236"/>
      <c r="U222" s="239"/>
      <c r="V222" s="520"/>
      <c r="W222" s="234" t="s">
        <v>233</v>
      </c>
      <c r="X222" s="235">
        <f t="shared" si="47"/>
        <v>0</v>
      </c>
      <c r="Y222" s="235">
        <f t="shared" si="45"/>
        <v>0</v>
      </c>
      <c r="Z222" s="235">
        <f t="shared" si="41"/>
        <v>0</v>
      </c>
      <c r="AA222" s="247">
        <f t="shared" si="39"/>
        <v>0</v>
      </c>
      <c r="AB222" s="238"/>
      <c r="AC222" s="520"/>
      <c r="AD222" s="234" t="s">
        <v>233</v>
      </c>
      <c r="AE222" s="235">
        <f t="shared" si="44"/>
        <v>0</v>
      </c>
      <c r="AF222" s="235">
        <f t="shared" si="46"/>
        <v>0</v>
      </c>
      <c r="AG222" s="235">
        <f t="shared" si="43"/>
        <v>0</v>
      </c>
      <c r="AH222" s="247">
        <f t="shared" si="40"/>
        <v>0</v>
      </c>
      <c r="AI222" s="238"/>
      <c r="AK222" s="240"/>
    </row>
    <row r="223" spans="1:37" x14ac:dyDescent="0.2">
      <c r="A223" s="248"/>
      <c r="B223" s="234"/>
      <c r="C223" s="235"/>
      <c r="D223" s="235"/>
      <c r="E223" s="235"/>
      <c r="F223" s="236"/>
      <c r="G223" s="239"/>
      <c r="H223" s="248"/>
      <c r="I223" s="234"/>
      <c r="J223" s="235"/>
      <c r="K223" s="235"/>
      <c r="L223" s="235"/>
      <c r="M223" s="236"/>
      <c r="N223" s="239"/>
      <c r="O223" s="252"/>
      <c r="P223" s="234"/>
      <c r="Q223" s="235"/>
      <c r="R223" s="235"/>
      <c r="S223" s="235"/>
      <c r="T223" s="236"/>
      <c r="U223" s="239"/>
      <c r="V223" s="520"/>
      <c r="W223" s="234" t="s">
        <v>234</v>
      </c>
      <c r="X223" s="235">
        <f t="shared" si="47"/>
        <v>0</v>
      </c>
      <c r="Y223" s="235">
        <f t="shared" si="45"/>
        <v>0</v>
      </c>
      <c r="Z223" s="235">
        <f t="shared" si="41"/>
        <v>0</v>
      </c>
      <c r="AA223" s="247">
        <f t="shared" si="39"/>
        <v>0</v>
      </c>
      <c r="AB223" s="238"/>
      <c r="AC223" s="520"/>
      <c r="AD223" s="234" t="s">
        <v>234</v>
      </c>
      <c r="AE223" s="235">
        <f t="shared" si="44"/>
        <v>0</v>
      </c>
      <c r="AF223" s="235">
        <f t="shared" si="46"/>
        <v>0</v>
      </c>
      <c r="AG223" s="235">
        <f t="shared" si="43"/>
        <v>0</v>
      </c>
      <c r="AH223" s="247">
        <f t="shared" si="40"/>
        <v>0</v>
      </c>
      <c r="AI223" s="238"/>
      <c r="AK223" s="240"/>
    </row>
    <row r="224" spans="1:37" x14ac:dyDescent="0.2">
      <c r="A224" s="248"/>
      <c r="B224" s="234"/>
      <c r="C224" s="235"/>
      <c r="D224" s="235"/>
      <c r="E224" s="235"/>
      <c r="F224" s="236"/>
      <c r="G224" s="239"/>
      <c r="H224" s="248"/>
      <c r="I224" s="234"/>
      <c r="J224" s="235"/>
      <c r="K224" s="235"/>
      <c r="L224" s="235"/>
      <c r="M224" s="236"/>
      <c r="N224" s="239"/>
      <c r="O224" s="252"/>
      <c r="P224" s="234"/>
      <c r="Q224" s="235"/>
      <c r="R224" s="235"/>
      <c r="S224" s="235"/>
      <c r="T224" s="236"/>
      <c r="U224" s="239"/>
      <c r="V224" s="520"/>
      <c r="W224" s="234" t="s">
        <v>235</v>
      </c>
      <c r="X224" s="235">
        <f t="shared" si="47"/>
        <v>0</v>
      </c>
      <c r="Y224" s="235">
        <f t="shared" si="45"/>
        <v>0</v>
      </c>
      <c r="Z224" s="235">
        <f t="shared" si="41"/>
        <v>0</v>
      </c>
      <c r="AA224" s="247">
        <f t="shared" si="39"/>
        <v>0</v>
      </c>
      <c r="AB224" s="238"/>
      <c r="AC224" s="520"/>
      <c r="AD224" s="234" t="s">
        <v>235</v>
      </c>
      <c r="AE224" s="235">
        <f t="shared" si="44"/>
        <v>0</v>
      </c>
      <c r="AF224" s="235">
        <f t="shared" si="46"/>
        <v>0</v>
      </c>
      <c r="AG224" s="235">
        <f t="shared" si="43"/>
        <v>0</v>
      </c>
      <c r="AH224" s="247">
        <f t="shared" si="40"/>
        <v>0</v>
      </c>
      <c r="AI224" s="238"/>
      <c r="AK224" s="240"/>
    </row>
    <row r="225" spans="1:37" x14ac:dyDescent="0.2">
      <c r="A225" s="248"/>
      <c r="B225" s="234"/>
      <c r="C225" s="235"/>
      <c r="D225" s="235"/>
      <c r="E225" s="235"/>
      <c r="F225" s="236"/>
      <c r="G225" s="239"/>
      <c r="H225" s="248"/>
      <c r="I225" s="234"/>
      <c r="J225" s="235"/>
      <c r="K225" s="235"/>
      <c r="L225" s="235"/>
      <c r="M225" s="236"/>
      <c r="N225" s="239"/>
      <c r="O225" s="252"/>
      <c r="P225" s="234"/>
      <c r="Q225" s="235"/>
      <c r="R225" s="235"/>
      <c r="S225" s="235"/>
      <c r="T225" s="236"/>
      <c r="U225" s="239"/>
      <c r="V225" s="521"/>
      <c r="W225" s="234" t="s">
        <v>236</v>
      </c>
      <c r="X225" s="235">
        <f t="shared" si="47"/>
        <v>0</v>
      </c>
      <c r="Y225" s="235">
        <f t="shared" si="45"/>
        <v>0</v>
      </c>
      <c r="Z225" s="235">
        <f t="shared" si="41"/>
        <v>0</v>
      </c>
      <c r="AA225" s="247">
        <f t="shared" si="39"/>
        <v>0</v>
      </c>
      <c r="AB225" s="239">
        <f>SUM(Y214:Y225)</f>
        <v>0</v>
      </c>
      <c r="AC225" s="521"/>
      <c r="AD225" s="234" t="s">
        <v>236</v>
      </c>
      <c r="AE225" s="235">
        <f t="shared" si="44"/>
        <v>0</v>
      </c>
      <c r="AF225" s="235">
        <f t="shared" si="46"/>
        <v>0</v>
      </c>
      <c r="AG225" s="235">
        <f t="shared" si="43"/>
        <v>0</v>
      </c>
      <c r="AH225" s="247">
        <f t="shared" si="40"/>
        <v>0</v>
      </c>
      <c r="AI225" s="239">
        <f>SUM(AF214:AF225)</f>
        <v>0</v>
      </c>
      <c r="AJ225" s="208">
        <f>V214</f>
        <v>2038</v>
      </c>
      <c r="AK225" s="240">
        <f>G225+N225+U225+AB225+AI225</f>
        <v>0</v>
      </c>
    </row>
    <row r="226" spans="1:37" x14ac:dyDescent="0.2">
      <c r="A226" s="248"/>
      <c r="B226" s="234"/>
      <c r="C226" s="235"/>
      <c r="D226" s="235"/>
      <c r="E226" s="235"/>
      <c r="F226" s="236"/>
      <c r="G226" s="239"/>
      <c r="H226" s="248"/>
      <c r="I226" s="234"/>
      <c r="J226" s="235"/>
      <c r="K226" s="235"/>
      <c r="L226" s="235"/>
      <c r="M226" s="236"/>
      <c r="N226" s="239"/>
      <c r="O226" s="252"/>
      <c r="P226" s="234"/>
      <c r="Q226" s="235"/>
      <c r="R226" s="235"/>
      <c r="S226" s="235"/>
      <c r="T226" s="236"/>
      <c r="U226" s="239"/>
      <c r="V226" s="519">
        <v>2039</v>
      </c>
      <c r="W226" s="234" t="s">
        <v>225</v>
      </c>
      <c r="X226" s="235">
        <f t="shared" si="47"/>
        <v>0</v>
      </c>
      <c r="Y226" s="235">
        <f t="shared" si="45"/>
        <v>0</v>
      </c>
      <c r="Z226" s="235">
        <f t="shared" si="41"/>
        <v>0</v>
      </c>
      <c r="AA226" s="247">
        <f t="shared" si="39"/>
        <v>0</v>
      </c>
      <c r="AB226" s="237"/>
      <c r="AC226" s="519">
        <v>2039</v>
      </c>
      <c r="AD226" s="234" t="s">
        <v>225</v>
      </c>
      <c r="AE226" s="235">
        <f t="shared" si="44"/>
        <v>0</v>
      </c>
      <c r="AF226" s="235">
        <f t="shared" si="46"/>
        <v>0</v>
      </c>
      <c r="AG226" s="235">
        <f t="shared" si="43"/>
        <v>0</v>
      </c>
      <c r="AH226" s="247">
        <f t="shared" si="40"/>
        <v>0</v>
      </c>
      <c r="AI226" s="237"/>
      <c r="AK226" s="240"/>
    </row>
    <row r="227" spans="1:37" x14ac:dyDescent="0.2">
      <c r="A227" s="248"/>
      <c r="B227" s="234"/>
      <c r="C227" s="235"/>
      <c r="D227" s="235"/>
      <c r="E227" s="235"/>
      <c r="F227" s="236"/>
      <c r="G227" s="239"/>
      <c r="H227" s="248"/>
      <c r="I227" s="234"/>
      <c r="J227" s="235"/>
      <c r="K227" s="235"/>
      <c r="L227" s="235"/>
      <c r="M227" s="236"/>
      <c r="N227" s="239"/>
      <c r="O227" s="252"/>
      <c r="P227" s="234"/>
      <c r="Q227" s="235"/>
      <c r="R227" s="235"/>
      <c r="S227" s="235"/>
      <c r="T227" s="236"/>
      <c r="U227" s="239"/>
      <c r="V227" s="520"/>
      <c r="W227" s="234" t="s">
        <v>226</v>
      </c>
      <c r="X227" s="235">
        <f t="shared" si="47"/>
        <v>0</v>
      </c>
      <c r="Y227" s="235">
        <f t="shared" si="45"/>
        <v>0</v>
      </c>
      <c r="Z227" s="235">
        <f t="shared" si="41"/>
        <v>0</v>
      </c>
      <c r="AA227" s="247">
        <f t="shared" si="39"/>
        <v>0</v>
      </c>
      <c r="AB227" s="238"/>
      <c r="AC227" s="520"/>
      <c r="AD227" s="234" t="s">
        <v>226</v>
      </c>
      <c r="AE227" s="235">
        <f t="shared" si="44"/>
        <v>0</v>
      </c>
      <c r="AF227" s="235">
        <f t="shared" si="46"/>
        <v>0</v>
      </c>
      <c r="AG227" s="235">
        <f t="shared" si="43"/>
        <v>0</v>
      </c>
      <c r="AH227" s="247">
        <f t="shared" si="40"/>
        <v>0</v>
      </c>
      <c r="AI227" s="238"/>
      <c r="AK227" s="240"/>
    </row>
    <row r="228" spans="1:37" x14ac:dyDescent="0.2">
      <c r="A228" s="248"/>
      <c r="B228" s="234"/>
      <c r="C228" s="235"/>
      <c r="D228" s="235"/>
      <c r="E228" s="235"/>
      <c r="F228" s="236"/>
      <c r="G228" s="239"/>
      <c r="H228" s="248"/>
      <c r="I228" s="234"/>
      <c r="J228" s="235"/>
      <c r="K228" s="235"/>
      <c r="L228" s="235"/>
      <c r="M228" s="236"/>
      <c r="N228" s="239"/>
      <c r="O228" s="252"/>
      <c r="P228" s="234"/>
      <c r="Q228" s="235"/>
      <c r="R228" s="235"/>
      <c r="S228" s="235"/>
      <c r="T228" s="236"/>
      <c r="U228" s="239"/>
      <c r="V228" s="520"/>
      <c r="W228" s="234" t="s">
        <v>227</v>
      </c>
      <c r="X228" s="235">
        <f t="shared" si="47"/>
        <v>0</v>
      </c>
      <c r="Y228" s="235">
        <f t="shared" si="45"/>
        <v>0</v>
      </c>
      <c r="Z228" s="235">
        <f t="shared" si="41"/>
        <v>0</v>
      </c>
      <c r="AA228" s="247">
        <f t="shared" ref="AA228:AA285" si="48">Y228+Z228</f>
        <v>0</v>
      </c>
      <c r="AB228" s="238"/>
      <c r="AC228" s="520"/>
      <c r="AD228" s="234" t="s">
        <v>227</v>
      </c>
      <c r="AE228" s="235">
        <f t="shared" si="44"/>
        <v>0</v>
      </c>
      <c r="AF228" s="235">
        <f t="shared" si="46"/>
        <v>0</v>
      </c>
      <c r="AG228" s="235">
        <f t="shared" si="43"/>
        <v>0</v>
      </c>
      <c r="AH228" s="247">
        <f t="shared" ref="AH228:AH291" si="49">AF228+AG228</f>
        <v>0</v>
      </c>
      <c r="AI228" s="238"/>
      <c r="AK228" s="240"/>
    </row>
    <row r="229" spans="1:37" x14ac:dyDescent="0.2">
      <c r="A229" s="248"/>
      <c r="B229" s="234"/>
      <c r="C229" s="235"/>
      <c r="D229" s="235"/>
      <c r="E229" s="235"/>
      <c r="F229" s="236"/>
      <c r="G229" s="239"/>
      <c r="H229" s="248"/>
      <c r="I229" s="234"/>
      <c r="J229" s="235"/>
      <c r="K229" s="235"/>
      <c r="L229" s="235"/>
      <c r="M229" s="236"/>
      <c r="N229" s="239"/>
      <c r="O229" s="252"/>
      <c r="P229" s="234"/>
      <c r="Q229" s="235"/>
      <c r="R229" s="235"/>
      <c r="S229" s="235"/>
      <c r="T229" s="236"/>
      <c r="U229" s="239"/>
      <c r="V229" s="520"/>
      <c r="W229" s="234" t="s">
        <v>228</v>
      </c>
      <c r="X229" s="235">
        <f t="shared" si="47"/>
        <v>0</v>
      </c>
      <c r="Y229" s="235">
        <f t="shared" si="45"/>
        <v>0</v>
      </c>
      <c r="Z229" s="235">
        <f t="shared" si="41"/>
        <v>0</v>
      </c>
      <c r="AA229" s="247">
        <f t="shared" si="48"/>
        <v>0</v>
      </c>
      <c r="AB229" s="238"/>
      <c r="AC229" s="520"/>
      <c r="AD229" s="234" t="s">
        <v>228</v>
      </c>
      <c r="AE229" s="235">
        <f t="shared" si="44"/>
        <v>0</v>
      </c>
      <c r="AF229" s="235">
        <f t="shared" si="46"/>
        <v>0</v>
      </c>
      <c r="AG229" s="235">
        <f t="shared" si="43"/>
        <v>0</v>
      </c>
      <c r="AH229" s="247">
        <f t="shared" si="49"/>
        <v>0</v>
      </c>
      <c r="AI229" s="238"/>
      <c r="AK229" s="240"/>
    </row>
    <row r="230" spans="1:37" x14ac:dyDescent="0.2">
      <c r="A230" s="248"/>
      <c r="B230" s="234"/>
      <c r="C230" s="235"/>
      <c r="D230" s="235"/>
      <c r="E230" s="235"/>
      <c r="F230" s="236"/>
      <c r="G230" s="239"/>
      <c r="H230" s="248"/>
      <c r="I230" s="234"/>
      <c r="J230" s="235"/>
      <c r="K230" s="235"/>
      <c r="L230" s="235"/>
      <c r="M230" s="236"/>
      <c r="N230" s="239"/>
      <c r="O230" s="252"/>
      <c r="P230" s="234"/>
      <c r="Q230" s="235"/>
      <c r="R230" s="235"/>
      <c r="S230" s="235"/>
      <c r="T230" s="236"/>
      <c r="U230" s="239"/>
      <c r="V230" s="520"/>
      <c r="W230" s="234" t="s">
        <v>229</v>
      </c>
      <c r="X230" s="235">
        <f t="shared" si="47"/>
        <v>0</v>
      </c>
      <c r="Y230" s="235">
        <f t="shared" si="45"/>
        <v>0</v>
      </c>
      <c r="Z230" s="235">
        <f t="shared" si="41"/>
        <v>0</v>
      </c>
      <c r="AA230" s="247">
        <f t="shared" si="48"/>
        <v>0</v>
      </c>
      <c r="AB230" s="238"/>
      <c r="AC230" s="520"/>
      <c r="AD230" s="234" t="s">
        <v>229</v>
      </c>
      <c r="AE230" s="235">
        <f t="shared" si="44"/>
        <v>0</v>
      </c>
      <c r="AF230" s="235">
        <f t="shared" si="46"/>
        <v>0</v>
      </c>
      <c r="AG230" s="235">
        <f t="shared" si="43"/>
        <v>0</v>
      </c>
      <c r="AH230" s="247">
        <f t="shared" si="49"/>
        <v>0</v>
      </c>
      <c r="AI230" s="238"/>
      <c r="AK230" s="240"/>
    </row>
    <row r="231" spans="1:37" x14ac:dyDescent="0.2">
      <c r="A231" s="248"/>
      <c r="B231" s="234"/>
      <c r="C231" s="235"/>
      <c r="D231" s="235"/>
      <c r="E231" s="235"/>
      <c r="F231" s="236"/>
      <c r="G231" s="239"/>
      <c r="H231" s="248"/>
      <c r="I231" s="234"/>
      <c r="J231" s="235"/>
      <c r="K231" s="235"/>
      <c r="L231" s="235"/>
      <c r="M231" s="236"/>
      <c r="N231" s="239"/>
      <c r="O231" s="252"/>
      <c r="P231" s="234"/>
      <c r="Q231" s="235"/>
      <c r="R231" s="235"/>
      <c r="S231" s="235"/>
      <c r="T231" s="236"/>
      <c r="U231" s="239"/>
      <c r="V231" s="520"/>
      <c r="W231" s="234" t="s">
        <v>230</v>
      </c>
      <c r="X231" s="235">
        <f t="shared" si="47"/>
        <v>0</v>
      </c>
      <c r="Y231" s="235">
        <f t="shared" si="45"/>
        <v>0</v>
      </c>
      <c r="Z231" s="235">
        <f t="shared" ref="Z231:Z273" si="50">$X$7/120</f>
        <v>0</v>
      </c>
      <c r="AA231" s="247">
        <f t="shared" si="48"/>
        <v>0</v>
      </c>
      <c r="AB231" s="238"/>
      <c r="AC231" s="520"/>
      <c r="AD231" s="234" t="s">
        <v>230</v>
      </c>
      <c r="AE231" s="235">
        <f t="shared" si="44"/>
        <v>0</v>
      </c>
      <c r="AF231" s="235">
        <f t="shared" si="46"/>
        <v>0</v>
      </c>
      <c r="AG231" s="235">
        <f t="shared" si="43"/>
        <v>0</v>
      </c>
      <c r="AH231" s="247">
        <f t="shared" si="49"/>
        <v>0</v>
      </c>
      <c r="AI231" s="238"/>
      <c r="AK231" s="240"/>
    </row>
    <row r="232" spans="1:37" x14ac:dyDescent="0.2">
      <c r="A232" s="248"/>
      <c r="B232" s="234"/>
      <c r="C232" s="235"/>
      <c r="D232" s="235"/>
      <c r="E232" s="235"/>
      <c r="F232" s="236"/>
      <c r="G232" s="239"/>
      <c r="H232" s="248"/>
      <c r="I232" s="234"/>
      <c r="J232" s="235"/>
      <c r="K232" s="235"/>
      <c r="L232" s="235"/>
      <c r="M232" s="236"/>
      <c r="N232" s="239"/>
      <c r="O232" s="252"/>
      <c r="P232" s="234"/>
      <c r="Q232" s="235"/>
      <c r="R232" s="235"/>
      <c r="S232" s="235"/>
      <c r="T232" s="236"/>
      <c r="U232" s="239"/>
      <c r="V232" s="520"/>
      <c r="W232" s="234" t="s">
        <v>231</v>
      </c>
      <c r="X232" s="235">
        <f t="shared" si="47"/>
        <v>0</v>
      </c>
      <c r="Y232" s="235">
        <f t="shared" si="45"/>
        <v>0</v>
      </c>
      <c r="Z232" s="235">
        <f t="shared" si="50"/>
        <v>0</v>
      </c>
      <c r="AA232" s="247">
        <f t="shared" si="48"/>
        <v>0</v>
      </c>
      <c r="AB232" s="238"/>
      <c r="AC232" s="520"/>
      <c r="AD232" s="234" t="s">
        <v>231</v>
      </c>
      <c r="AE232" s="235">
        <f t="shared" si="44"/>
        <v>0</v>
      </c>
      <c r="AF232" s="235">
        <f t="shared" si="46"/>
        <v>0</v>
      </c>
      <c r="AG232" s="235">
        <f t="shared" si="43"/>
        <v>0</v>
      </c>
      <c r="AH232" s="247">
        <f t="shared" si="49"/>
        <v>0</v>
      </c>
      <c r="AI232" s="238"/>
      <c r="AK232" s="240"/>
    </row>
    <row r="233" spans="1:37" x14ac:dyDescent="0.2">
      <c r="A233" s="248"/>
      <c r="B233" s="234"/>
      <c r="C233" s="235"/>
      <c r="D233" s="235"/>
      <c r="E233" s="235"/>
      <c r="F233" s="236"/>
      <c r="G233" s="239"/>
      <c r="H233" s="248"/>
      <c r="I233" s="234"/>
      <c r="J233" s="235"/>
      <c r="K233" s="235"/>
      <c r="L233" s="235"/>
      <c r="M233" s="236"/>
      <c r="N233" s="239"/>
      <c r="O233" s="252"/>
      <c r="P233" s="234"/>
      <c r="Q233" s="235"/>
      <c r="R233" s="235"/>
      <c r="S233" s="235"/>
      <c r="T233" s="236"/>
      <c r="U233" s="239"/>
      <c r="V233" s="520"/>
      <c r="W233" s="234" t="s">
        <v>232</v>
      </c>
      <c r="X233" s="235">
        <f t="shared" si="47"/>
        <v>0</v>
      </c>
      <c r="Y233" s="235">
        <f t="shared" si="45"/>
        <v>0</v>
      </c>
      <c r="Z233" s="235">
        <f t="shared" si="50"/>
        <v>0</v>
      </c>
      <c r="AA233" s="247">
        <f t="shared" si="48"/>
        <v>0</v>
      </c>
      <c r="AB233" s="238"/>
      <c r="AC233" s="520"/>
      <c r="AD233" s="234" t="s">
        <v>232</v>
      </c>
      <c r="AE233" s="235">
        <f t="shared" si="44"/>
        <v>0</v>
      </c>
      <c r="AF233" s="235">
        <f t="shared" si="46"/>
        <v>0</v>
      </c>
      <c r="AG233" s="235">
        <f t="shared" si="43"/>
        <v>0</v>
      </c>
      <c r="AH233" s="247">
        <f t="shared" si="49"/>
        <v>0</v>
      </c>
      <c r="AI233" s="238"/>
      <c r="AK233" s="240"/>
    </row>
    <row r="234" spans="1:37" x14ac:dyDescent="0.2">
      <c r="A234" s="248"/>
      <c r="B234" s="234"/>
      <c r="C234" s="235"/>
      <c r="D234" s="235"/>
      <c r="E234" s="235"/>
      <c r="F234" s="236"/>
      <c r="G234" s="239"/>
      <c r="H234" s="248"/>
      <c r="I234" s="234"/>
      <c r="J234" s="235"/>
      <c r="K234" s="235"/>
      <c r="L234" s="235"/>
      <c r="M234" s="236"/>
      <c r="N234" s="239"/>
      <c r="O234" s="252"/>
      <c r="P234" s="234"/>
      <c r="Q234" s="235"/>
      <c r="R234" s="235"/>
      <c r="S234" s="235"/>
      <c r="T234" s="236"/>
      <c r="U234" s="239"/>
      <c r="V234" s="520"/>
      <c r="W234" s="234" t="s">
        <v>233</v>
      </c>
      <c r="X234" s="235">
        <f t="shared" si="47"/>
        <v>0</v>
      </c>
      <c r="Y234" s="235">
        <f t="shared" si="45"/>
        <v>0</v>
      </c>
      <c r="Z234" s="235">
        <f t="shared" si="50"/>
        <v>0</v>
      </c>
      <c r="AA234" s="247">
        <f t="shared" si="48"/>
        <v>0</v>
      </c>
      <c r="AB234" s="238"/>
      <c r="AC234" s="520"/>
      <c r="AD234" s="234" t="s">
        <v>233</v>
      </c>
      <c r="AE234" s="235">
        <f t="shared" si="44"/>
        <v>0</v>
      </c>
      <c r="AF234" s="235">
        <f t="shared" si="46"/>
        <v>0</v>
      </c>
      <c r="AG234" s="235">
        <f t="shared" si="43"/>
        <v>0</v>
      </c>
      <c r="AH234" s="247">
        <f t="shared" si="49"/>
        <v>0</v>
      </c>
      <c r="AI234" s="238"/>
      <c r="AK234" s="240"/>
    </row>
    <row r="235" spans="1:37" x14ac:dyDescent="0.2">
      <c r="A235" s="248"/>
      <c r="B235" s="234"/>
      <c r="C235" s="235"/>
      <c r="D235" s="235"/>
      <c r="E235" s="235"/>
      <c r="F235" s="236"/>
      <c r="G235" s="239"/>
      <c r="H235" s="248"/>
      <c r="I235" s="234"/>
      <c r="J235" s="235"/>
      <c r="K235" s="235"/>
      <c r="L235" s="235"/>
      <c r="M235" s="236"/>
      <c r="N235" s="239"/>
      <c r="O235" s="252"/>
      <c r="P235" s="234"/>
      <c r="Q235" s="235"/>
      <c r="R235" s="235"/>
      <c r="S235" s="235"/>
      <c r="T235" s="236"/>
      <c r="U235" s="239"/>
      <c r="V235" s="520"/>
      <c r="W235" s="234" t="s">
        <v>234</v>
      </c>
      <c r="X235" s="235">
        <f t="shared" si="47"/>
        <v>0</v>
      </c>
      <c r="Y235" s="235">
        <f t="shared" si="45"/>
        <v>0</v>
      </c>
      <c r="Z235" s="235">
        <f t="shared" si="50"/>
        <v>0</v>
      </c>
      <c r="AA235" s="247">
        <f t="shared" si="48"/>
        <v>0</v>
      </c>
      <c r="AB235" s="238"/>
      <c r="AC235" s="520"/>
      <c r="AD235" s="234" t="s">
        <v>234</v>
      </c>
      <c r="AE235" s="235">
        <f t="shared" si="44"/>
        <v>0</v>
      </c>
      <c r="AF235" s="235">
        <f t="shared" si="46"/>
        <v>0</v>
      </c>
      <c r="AG235" s="235">
        <f t="shared" si="43"/>
        <v>0</v>
      </c>
      <c r="AH235" s="247">
        <f t="shared" si="49"/>
        <v>0</v>
      </c>
      <c r="AI235" s="238"/>
      <c r="AK235" s="240"/>
    </row>
    <row r="236" spans="1:37" x14ac:dyDescent="0.2">
      <c r="A236" s="248"/>
      <c r="B236" s="234"/>
      <c r="C236" s="235"/>
      <c r="D236" s="235"/>
      <c r="E236" s="235"/>
      <c r="F236" s="236"/>
      <c r="G236" s="239"/>
      <c r="H236" s="248"/>
      <c r="I236" s="234"/>
      <c r="J236" s="235"/>
      <c r="K236" s="235"/>
      <c r="L236" s="235"/>
      <c r="M236" s="236"/>
      <c r="N236" s="239"/>
      <c r="O236" s="252"/>
      <c r="P236" s="234"/>
      <c r="Q236" s="235"/>
      <c r="R236" s="235"/>
      <c r="S236" s="235"/>
      <c r="T236" s="236"/>
      <c r="U236" s="239"/>
      <c r="V236" s="520"/>
      <c r="W236" s="234" t="s">
        <v>235</v>
      </c>
      <c r="X236" s="235">
        <f t="shared" si="47"/>
        <v>0</v>
      </c>
      <c r="Y236" s="235">
        <f t="shared" si="45"/>
        <v>0</v>
      </c>
      <c r="Z236" s="235">
        <f t="shared" si="50"/>
        <v>0</v>
      </c>
      <c r="AA236" s="247">
        <f t="shared" si="48"/>
        <v>0</v>
      </c>
      <c r="AB236" s="238"/>
      <c r="AC236" s="520"/>
      <c r="AD236" s="234" t="s">
        <v>235</v>
      </c>
      <c r="AE236" s="235">
        <f t="shared" si="44"/>
        <v>0</v>
      </c>
      <c r="AF236" s="235">
        <f t="shared" si="46"/>
        <v>0</v>
      </c>
      <c r="AG236" s="235">
        <f t="shared" si="43"/>
        <v>0</v>
      </c>
      <c r="AH236" s="247">
        <f t="shared" si="49"/>
        <v>0</v>
      </c>
      <c r="AI236" s="238"/>
      <c r="AK236" s="240"/>
    </row>
    <row r="237" spans="1:37" x14ac:dyDescent="0.2">
      <c r="A237" s="248"/>
      <c r="B237" s="234"/>
      <c r="C237" s="235"/>
      <c r="D237" s="235"/>
      <c r="E237" s="235"/>
      <c r="F237" s="236"/>
      <c r="G237" s="239"/>
      <c r="H237" s="248"/>
      <c r="I237" s="234"/>
      <c r="J237" s="235"/>
      <c r="K237" s="235"/>
      <c r="L237" s="235"/>
      <c r="M237" s="236"/>
      <c r="N237" s="239"/>
      <c r="O237" s="252"/>
      <c r="P237" s="234"/>
      <c r="Q237" s="235"/>
      <c r="R237" s="235"/>
      <c r="S237" s="235"/>
      <c r="T237" s="236"/>
      <c r="U237" s="239"/>
      <c r="V237" s="521"/>
      <c r="W237" s="234" t="s">
        <v>236</v>
      </c>
      <c r="X237" s="235">
        <f t="shared" si="47"/>
        <v>0</v>
      </c>
      <c r="Y237" s="235">
        <f t="shared" si="45"/>
        <v>0</v>
      </c>
      <c r="Z237" s="235">
        <f t="shared" si="50"/>
        <v>0</v>
      </c>
      <c r="AA237" s="247">
        <f t="shared" si="48"/>
        <v>0</v>
      </c>
      <c r="AB237" s="239">
        <f>SUM(Y226:Y237)</f>
        <v>0</v>
      </c>
      <c r="AC237" s="521"/>
      <c r="AD237" s="234" t="s">
        <v>236</v>
      </c>
      <c r="AE237" s="235">
        <f t="shared" si="44"/>
        <v>0</v>
      </c>
      <c r="AF237" s="235">
        <f t="shared" si="46"/>
        <v>0</v>
      </c>
      <c r="AG237" s="235">
        <f t="shared" si="43"/>
        <v>0</v>
      </c>
      <c r="AH237" s="247">
        <f t="shared" si="49"/>
        <v>0</v>
      </c>
      <c r="AI237" s="239">
        <f>SUM(AF226:AF237)</f>
        <v>0</v>
      </c>
      <c r="AJ237" s="208">
        <f>V226</f>
        <v>2039</v>
      </c>
      <c r="AK237" s="240">
        <f>G237+N237+U237+AB237+AI237</f>
        <v>0</v>
      </c>
    </row>
    <row r="238" spans="1:37" x14ac:dyDescent="0.2">
      <c r="A238" s="248"/>
      <c r="B238" s="234"/>
      <c r="C238" s="235"/>
      <c r="D238" s="235"/>
      <c r="E238" s="235"/>
      <c r="F238" s="236"/>
      <c r="G238" s="239"/>
      <c r="H238" s="248"/>
      <c r="I238" s="234"/>
      <c r="J238" s="235"/>
      <c r="K238" s="235"/>
      <c r="L238" s="235"/>
      <c r="M238" s="236"/>
      <c r="N238" s="239"/>
      <c r="O238" s="252"/>
      <c r="P238" s="234"/>
      <c r="Q238" s="235"/>
      <c r="R238" s="235"/>
      <c r="S238" s="235"/>
      <c r="T238" s="236"/>
      <c r="U238" s="239"/>
      <c r="V238" s="519">
        <v>2040</v>
      </c>
      <c r="W238" s="234" t="s">
        <v>225</v>
      </c>
      <c r="X238" s="235">
        <f t="shared" si="47"/>
        <v>0</v>
      </c>
      <c r="Y238" s="235">
        <f t="shared" si="45"/>
        <v>0</v>
      </c>
      <c r="Z238" s="235">
        <f t="shared" si="50"/>
        <v>0</v>
      </c>
      <c r="AA238" s="247">
        <f t="shared" si="48"/>
        <v>0</v>
      </c>
      <c r="AB238" s="237"/>
      <c r="AC238" s="519">
        <v>2040</v>
      </c>
      <c r="AD238" s="234" t="s">
        <v>225</v>
      </c>
      <c r="AE238" s="235">
        <f t="shared" si="44"/>
        <v>0</v>
      </c>
      <c r="AF238" s="235">
        <f t="shared" si="46"/>
        <v>0</v>
      </c>
      <c r="AG238" s="235">
        <f t="shared" si="43"/>
        <v>0</v>
      </c>
      <c r="AH238" s="247">
        <f t="shared" si="49"/>
        <v>0</v>
      </c>
      <c r="AI238" s="237"/>
      <c r="AK238" s="240"/>
    </row>
    <row r="239" spans="1:37" x14ac:dyDescent="0.2">
      <c r="A239" s="248"/>
      <c r="B239" s="234"/>
      <c r="C239" s="235"/>
      <c r="D239" s="235"/>
      <c r="E239" s="235"/>
      <c r="F239" s="236"/>
      <c r="G239" s="239"/>
      <c r="H239" s="248"/>
      <c r="I239" s="234"/>
      <c r="J239" s="235"/>
      <c r="K239" s="235"/>
      <c r="L239" s="235"/>
      <c r="M239" s="236"/>
      <c r="N239" s="239"/>
      <c r="O239" s="252"/>
      <c r="P239" s="234"/>
      <c r="Q239" s="235"/>
      <c r="R239" s="235"/>
      <c r="S239" s="235"/>
      <c r="T239" s="236"/>
      <c r="U239" s="239"/>
      <c r="V239" s="520"/>
      <c r="W239" s="234" t="s">
        <v>226</v>
      </c>
      <c r="X239" s="235">
        <f t="shared" si="47"/>
        <v>0</v>
      </c>
      <c r="Y239" s="235">
        <f t="shared" si="45"/>
        <v>0</v>
      </c>
      <c r="Z239" s="235">
        <f t="shared" si="50"/>
        <v>0</v>
      </c>
      <c r="AA239" s="247">
        <f t="shared" si="48"/>
        <v>0</v>
      </c>
      <c r="AB239" s="238"/>
      <c r="AC239" s="520"/>
      <c r="AD239" s="234" t="s">
        <v>226</v>
      </c>
      <c r="AE239" s="235">
        <f t="shared" si="44"/>
        <v>0</v>
      </c>
      <c r="AF239" s="235">
        <f t="shared" si="46"/>
        <v>0</v>
      </c>
      <c r="AG239" s="235">
        <f t="shared" si="43"/>
        <v>0</v>
      </c>
      <c r="AH239" s="247">
        <f t="shared" si="49"/>
        <v>0</v>
      </c>
      <c r="AI239" s="238"/>
      <c r="AK239" s="240"/>
    </row>
    <row r="240" spans="1:37" x14ac:dyDescent="0.2">
      <c r="A240" s="248"/>
      <c r="B240" s="234"/>
      <c r="C240" s="235"/>
      <c r="D240" s="235"/>
      <c r="E240" s="235"/>
      <c r="F240" s="236"/>
      <c r="G240" s="239"/>
      <c r="H240" s="248"/>
      <c r="I240" s="234"/>
      <c r="J240" s="235"/>
      <c r="K240" s="235"/>
      <c r="L240" s="235"/>
      <c r="M240" s="236"/>
      <c r="N240" s="239"/>
      <c r="O240" s="252"/>
      <c r="P240" s="234"/>
      <c r="Q240" s="235"/>
      <c r="R240" s="235"/>
      <c r="S240" s="235"/>
      <c r="T240" s="236"/>
      <c r="U240" s="239"/>
      <c r="V240" s="520"/>
      <c r="W240" s="234" t="s">
        <v>227</v>
      </c>
      <c r="X240" s="235">
        <f t="shared" si="47"/>
        <v>0</v>
      </c>
      <c r="Y240" s="235">
        <f t="shared" si="45"/>
        <v>0</v>
      </c>
      <c r="Z240" s="235">
        <f t="shared" si="50"/>
        <v>0</v>
      </c>
      <c r="AA240" s="247">
        <f t="shared" si="48"/>
        <v>0</v>
      </c>
      <c r="AB240" s="238"/>
      <c r="AC240" s="520"/>
      <c r="AD240" s="234" t="s">
        <v>227</v>
      </c>
      <c r="AE240" s="235">
        <f t="shared" si="44"/>
        <v>0</v>
      </c>
      <c r="AF240" s="235">
        <f t="shared" si="46"/>
        <v>0</v>
      </c>
      <c r="AG240" s="235">
        <f t="shared" si="43"/>
        <v>0</v>
      </c>
      <c r="AH240" s="247">
        <f t="shared" si="49"/>
        <v>0</v>
      </c>
      <c r="AI240" s="238"/>
      <c r="AK240" s="240"/>
    </row>
    <row r="241" spans="1:37" x14ac:dyDescent="0.2">
      <c r="A241" s="248"/>
      <c r="B241" s="234"/>
      <c r="C241" s="235"/>
      <c r="D241" s="235"/>
      <c r="E241" s="235"/>
      <c r="F241" s="236"/>
      <c r="G241" s="239"/>
      <c r="H241" s="248"/>
      <c r="I241" s="234"/>
      <c r="J241" s="235"/>
      <c r="K241" s="235"/>
      <c r="L241" s="235"/>
      <c r="M241" s="236"/>
      <c r="N241" s="239"/>
      <c r="O241" s="252"/>
      <c r="P241" s="234"/>
      <c r="Q241" s="235"/>
      <c r="R241" s="235"/>
      <c r="S241" s="235"/>
      <c r="T241" s="236"/>
      <c r="U241" s="239"/>
      <c r="V241" s="520"/>
      <c r="W241" s="234" t="s">
        <v>228</v>
      </c>
      <c r="X241" s="235">
        <f t="shared" si="47"/>
        <v>0</v>
      </c>
      <c r="Y241" s="235">
        <f t="shared" si="45"/>
        <v>0</v>
      </c>
      <c r="Z241" s="235">
        <f t="shared" si="50"/>
        <v>0</v>
      </c>
      <c r="AA241" s="247">
        <f t="shared" si="48"/>
        <v>0</v>
      </c>
      <c r="AB241" s="238"/>
      <c r="AC241" s="520"/>
      <c r="AD241" s="234" t="s">
        <v>228</v>
      </c>
      <c r="AE241" s="235">
        <f t="shared" si="44"/>
        <v>0</v>
      </c>
      <c r="AF241" s="235">
        <f t="shared" si="46"/>
        <v>0</v>
      </c>
      <c r="AG241" s="235">
        <f t="shared" si="43"/>
        <v>0</v>
      </c>
      <c r="AH241" s="247">
        <f t="shared" si="49"/>
        <v>0</v>
      </c>
      <c r="AI241" s="238"/>
      <c r="AK241" s="240"/>
    </row>
    <row r="242" spans="1:37" x14ac:dyDescent="0.2">
      <c r="A242" s="248"/>
      <c r="B242" s="234"/>
      <c r="C242" s="235"/>
      <c r="D242" s="235"/>
      <c r="E242" s="235"/>
      <c r="F242" s="236"/>
      <c r="G242" s="239"/>
      <c r="H242" s="248"/>
      <c r="I242" s="234"/>
      <c r="J242" s="235"/>
      <c r="K242" s="235"/>
      <c r="L242" s="235"/>
      <c r="M242" s="236"/>
      <c r="N242" s="239"/>
      <c r="O242" s="252"/>
      <c r="P242" s="234"/>
      <c r="Q242" s="235"/>
      <c r="R242" s="235"/>
      <c r="S242" s="235"/>
      <c r="T242" s="236"/>
      <c r="U242" s="239"/>
      <c r="V242" s="520"/>
      <c r="W242" s="234" t="s">
        <v>229</v>
      </c>
      <c r="X242" s="235">
        <f t="shared" si="47"/>
        <v>0</v>
      </c>
      <c r="Y242" s="235">
        <f t="shared" si="45"/>
        <v>0</v>
      </c>
      <c r="Z242" s="235">
        <f t="shared" si="50"/>
        <v>0</v>
      </c>
      <c r="AA242" s="247">
        <f t="shared" si="48"/>
        <v>0</v>
      </c>
      <c r="AB242" s="238"/>
      <c r="AC242" s="520"/>
      <c r="AD242" s="234" t="s">
        <v>229</v>
      </c>
      <c r="AE242" s="235">
        <f t="shared" si="44"/>
        <v>0</v>
      </c>
      <c r="AF242" s="235">
        <f t="shared" si="46"/>
        <v>0</v>
      </c>
      <c r="AG242" s="235">
        <f t="shared" si="43"/>
        <v>0</v>
      </c>
      <c r="AH242" s="247">
        <f t="shared" si="49"/>
        <v>0</v>
      </c>
      <c r="AI242" s="238"/>
      <c r="AK242" s="240"/>
    </row>
    <row r="243" spans="1:37" x14ac:dyDescent="0.2">
      <c r="A243" s="248"/>
      <c r="B243" s="234"/>
      <c r="C243" s="235"/>
      <c r="D243" s="235"/>
      <c r="E243" s="235"/>
      <c r="F243" s="236"/>
      <c r="G243" s="239"/>
      <c r="H243" s="248"/>
      <c r="I243" s="234"/>
      <c r="J243" s="235"/>
      <c r="K243" s="235"/>
      <c r="L243" s="235"/>
      <c r="M243" s="236"/>
      <c r="N243" s="239"/>
      <c r="O243" s="252"/>
      <c r="P243" s="234"/>
      <c r="Q243" s="235"/>
      <c r="R243" s="235"/>
      <c r="S243" s="235"/>
      <c r="T243" s="236"/>
      <c r="U243" s="239"/>
      <c r="V243" s="520"/>
      <c r="W243" s="234" t="s">
        <v>230</v>
      </c>
      <c r="X243" s="235">
        <f t="shared" si="47"/>
        <v>0</v>
      </c>
      <c r="Y243" s="235">
        <f t="shared" si="45"/>
        <v>0</v>
      </c>
      <c r="Z243" s="235">
        <f t="shared" si="50"/>
        <v>0</v>
      </c>
      <c r="AA243" s="247">
        <f t="shared" si="48"/>
        <v>0</v>
      </c>
      <c r="AB243" s="238"/>
      <c r="AC243" s="520"/>
      <c r="AD243" s="234" t="s">
        <v>230</v>
      </c>
      <c r="AE243" s="235">
        <f t="shared" si="44"/>
        <v>0</v>
      </c>
      <c r="AF243" s="235">
        <f t="shared" si="46"/>
        <v>0</v>
      </c>
      <c r="AG243" s="235">
        <f t="shared" si="43"/>
        <v>0</v>
      </c>
      <c r="AH243" s="247">
        <f t="shared" si="49"/>
        <v>0</v>
      </c>
      <c r="AI243" s="238"/>
      <c r="AK243" s="240"/>
    </row>
    <row r="244" spans="1:37" x14ac:dyDescent="0.2">
      <c r="A244" s="248"/>
      <c r="B244" s="234"/>
      <c r="C244" s="235"/>
      <c r="D244" s="235"/>
      <c r="E244" s="235"/>
      <c r="F244" s="236"/>
      <c r="G244" s="239"/>
      <c r="H244" s="248"/>
      <c r="I244" s="234"/>
      <c r="J244" s="235"/>
      <c r="K244" s="235"/>
      <c r="L244" s="235"/>
      <c r="M244" s="236"/>
      <c r="N244" s="239"/>
      <c r="O244" s="252"/>
      <c r="P244" s="234"/>
      <c r="Q244" s="235"/>
      <c r="R244" s="235"/>
      <c r="S244" s="235"/>
      <c r="T244" s="236"/>
      <c r="U244" s="239"/>
      <c r="V244" s="520"/>
      <c r="W244" s="234" t="s">
        <v>231</v>
      </c>
      <c r="X244" s="235">
        <f t="shared" si="47"/>
        <v>0</v>
      </c>
      <c r="Y244" s="235">
        <f t="shared" si="45"/>
        <v>0</v>
      </c>
      <c r="Z244" s="235">
        <f t="shared" si="50"/>
        <v>0</v>
      </c>
      <c r="AA244" s="247">
        <f t="shared" si="48"/>
        <v>0</v>
      </c>
      <c r="AB244" s="238"/>
      <c r="AC244" s="520"/>
      <c r="AD244" s="234" t="s">
        <v>231</v>
      </c>
      <c r="AE244" s="235">
        <f t="shared" si="44"/>
        <v>0</v>
      </c>
      <c r="AF244" s="235">
        <f t="shared" si="46"/>
        <v>0</v>
      </c>
      <c r="AG244" s="235">
        <f t="shared" si="43"/>
        <v>0</v>
      </c>
      <c r="AH244" s="247">
        <f t="shared" si="49"/>
        <v>0</v>
      </c>
      <c r="AI244" s="238"/>
      <c r="AK244" s="240"/>
    </row>
    <row r="245" spans="1:37" x14ac:dyDescent="0.2">
      <c r="A245" s="248"/>
      <c r="B245" s="234"/>
      <c r="C245" s="235"/>
      <c r="D245" s="235"/>
      <c r="E245" s="235"/>
      <c r="F245" s="236"/>
      <c r="G245" s="239"/>
      <c r="H245" s="248"/>
      <c r="I245" s="234"/>
      <c r="J245" s="235"/>
      <c r="K245" s="235"/>
      <c r="L245" s="235"/>
      <c r="M245" s="236"/>
      <c r="N245" s="239"/>
      <c r="O245" s="252"/>
      <c r="P245" s="234"/>
      <c r="Q245" s="235"/>
      <c r="R245" s="235"/>
      <c r="S245" s="235"/>
      <c r="T245" s="236"/>
      <c r="U245" s="239"/>
      <c r="V245" s="520"/>
      <c r="W245" s="234" t="s">
        <v>232</v>
      </c>
      <c r="X245" s="235">
        <f t="shared" si="47"/>
        <v>0</v>
      </c>
      <c r="Y245" s="235">
        <f t="shared" si="45"/>
        <v>0</v>
      </c>
      <c r="Z245" s="235">
        <f t="shared" si="50"/>
        <v>0</v>
      </c>
      <c r="AA245" s="247">
        <f t="shared" si="48"/>
        <v>0</v>
      </c>
      <c r="AB245" s="238"/>
      <c r="AC245" s="520"/>
      <c r="AD245" s="234" t="s">
        <v>232</v>
      </c>
      <c r="AE245" s="235">
        <f t="shared" si="44"/>
        <v>0</v>
      </c>
      <c r="AF245" s="235">
        <f t="shared" si="46"/>
        <v>0</v>
      </c>
      <c r="AG245" s="235">
        <f t="shared" si="43"/>
        <v>0</v>
      </c>
      <c r="AH245" s="247">
        <f t="shared" si="49"/>
        <v>0</v>
      </c>
      <c r="AI245" s="238"/>
      <c r="AK245" s="240"/>
    </row>
    <row r="246" spans="1:37" x14ac:dyDescent="0.2">
      <c r="A246" s="248"/>
      <c r="B246" s="234"/>
      <c r="C246" s="235"/>
      <c r="D246" s="235"/>
      <c r="E246" s="235"/>
      <c r="F246" s="236"/>
      <c r="G246" s="239"/>
      <c r="H246" s="248"/>
      <c r="I246" s="234"/>
      <c r="J246" s="235"/>
      <c r="K246" s="235"/>
      <c r="L246" s="235"/>
      <c r="M246" s="236"/>
      <c r="N246" s="239"/>
      <c r="O246" s="252"/>
      <c r="P246" s="234"/>
      <c r="Q246" s="235"/>
      <c r="R246" s="235"/>
      <c r="S246" s="235"/>
      <c r="T246" s="236"/>
      <c r="U246" s="239"/>
      <c r="V246" s="520"/>
      <c r="W246" s="234" t="s">
        <v>233</v>
      </c>
      <c r="X246" s="235">
        <f t="shared" si="47"/>
        <v>0</v>
      </c>
      <c r="Y246" s="235">
        <f t="shared" si="45"/>
        <v>0</v>
      </c>
      <c r="Z246" s="235">
        <f t="shared" si="50"/>
        <v>0</v>
      </c>
      <c r="AA246" s="247">
        <f t="shared" si="48"/>
        <v>0</v>
      </c>
      <c r="AB246" s="238"/>
      <c r="AC246" s="520"/>
      <c r="AD246" s="234" t="s">
        <v>233</v>
      </c>
      <c r="AE246" s="235">
        <f t="shared" si="44"/>
        <v>0</v>
      </c>
      <c r="AF246" s="235">
        <f t="shared" si="46"/>
        <v>0</v>
      </c>
      <c r="AG246" s="235">
        <f t="shared" si="43"/>
        <v>0</v>
      </c>
      <c r="AH246" s="247">
        <f t="shared" si="49"/>
        <v>0</v>
      </c>
      <c r="AI246" s="238"/>
      <c r="AK246" s="240"/>
    </row>
    <row r="247" spans="1:37" x14ac:dyDescent="0.2">
      <c r="A247" s="248"/>
      <c r="B247" s="234"/>
      <c r="C247" s="235"/>
      <c r="D247" s="235"/>
      <c r="E247" s="235"/>
      <c r="F247" s="236"/>
      <c r="G247" s="239"/>
      <c r="H247" s="248"/>
      <c r="I247" s="234"/>
      <c r="J247" s="235"/>
      <c r="K247" s="235"/>
      <c r="L247" s="235"/>
      <c r="M247" s="236"/>
      <c r="N247" s="239"/>
      <c r="O247" s="252"/>
      <c r="P247" s="234"/>
      <c r="Q247" s="235"/>
      <c r="R247" s="235"/>
      <c r="S247" s="235"/>
      <c r="T247" s="236"/>
      <c r="U247" s="239"/>
      <c r="V247" s="520"/>
      <c r="W247" s="234" t="s">
        <v>234</v>
      </c>
      <c r="X247" s="235">
        <f t="shared" si="47"/>
        <v>0</v>
      </c>
      <c r="Y247" s="235">
        <f t="shared" si="45"/>
        <v>0</v>
      </c>
      <c r="Z247" s="235">
        <f t="shared" si="50"/>
        <v>0</v>
      </c>
      <c r="AA247" s="247">
        <f t="shared" si="48"/>
        <v>0</v>
      </c>
      <c r="AB247" s="238"/>
      <c r="AC247" s="520"/>
      <c r="AD247" s="234" t="s">
        <v>234</v>
      </c>
      <c r="AE247" s="235">
        <f t="shared" si="44"/>
        <v>0</v>
      </c>
      <c r="AF247" s="235">
        <f t="shared" si="46"/>
        <v>0</v>
      </c>
      <c r="AG247" s="235">
        <f t="shared" si="43"/>
        <v>0</v>
      </c>
      <c r="AH247" s="247">
        <f t="shared" si="49"/>
        <v>0</v>
      </c>
      <c r="AI247" s="238"/>
      <c r="AK247" s="240"/>
    </row>
    <row r="248" spans="1:37" x14ac:dyDescent="0.2">
      <c r="A248" s="248"/>
      <c r="B248" s="234"/>
      <c r="C248" s="235"/>
      <c r="D248" s="235"/>
      <c r="E248" s="235"/>
      <c r="F248" s="236"/>
      <c r="G248" s="239"/>
      <c r="H248" s="248"/>
      <c r="I248" s="234"/>
      <c r="J248" s="235"/>
      <c r="K248" s="235"/>
      <c r="L248" s="235"/>
      <c r="M248" s="236"/>
      <c r="N248" s="239"/>
      <c r="O248" s="252"/>
      <c r="P248" s="234"/>
      <c r="Q248" s="235"/>
      <c r="R248" s="235"/>
      <c r="S248" s="235"/>
      <c r="T248" s="236"/>
      <c r="U248" s="239"/>
      <c r="V248" s="520"/>
      <c r="W248" s="234" t="s">
        <v>235</v>
      </c>
      <c r="X248" s="235">
        <f t="shared" si="47"/>
        <v>0</v>
      </c>
      <c r="Y248" s="235">
        <f t="shared" si="45"/>
        <v>0</v>
      </c>
      <c r="Z248" s="235">
        <f t="shared" si="50"/>
        <v>0</v>
      </c>
      <c r="AA248" s="247">
        <f t="shared" si="48"/>
        <v>0</v>
      </c>
      <c r="AB248" s="238"/>
      <c r="AC248" s="520"/>
      <c r="AD248" s="234" t="s">
        <v>235</v>
      </c>
      <c r="AE248" s="235">
        <f t="shared" si="44"/>
        <v>0</v>
      </c>
      <c r="AF248" s="235">
        <f t="shared" si="46"/>
        <v>0</v>
      </c>
      <c r="AG248" s="235">
        <f t="shared" si="43"/>
        <v>0</v>
      </c>
      <c r="AH248" s="247">
        <f t="shared" si="49"/>
        <v>0</v>
      </c>
      <c r="AI248" s="238"/>
      <c r="AK248" s="240"/>
    </row>
    <row r="249" spans="1:37" x14ac:dyDescent="0.2">
      <c r="A249" s="248"/>
      <c r="B249" s="234"/>
      <c r="C249" s="235"/>
      <c r="D249" s="235"/>
      <c r="E249" s="235"/>
      <c r="F249" s="236"/>
      <c r="G249" s="239"/>
      <c r="H249" s="248"/>
      <c r="I249" s="234"/>
      <c r="J249" s="235"/>
      <c r="K249" s="235"/>
      <c r="L249" s="235"/>
      <c r="M249" s="236"/>
      <c r="N249" s="239"/>
      <c r="O249" s="252"/>
      <c r="P249" s="234"/>
      <c r="Q249" s="235"/>
      <c r="R249" s="235"/>
      <c r="S249" s="235"/>
      <c r="T249" s="236"/>
      <c r="U249" s="239"/>
      <c r="V249" s="521"/>
      <c r="W249" s="234" t="s">
        <v>236</v>
      </c>
      <c r="X249" s="235">
        <f t="shared" si="47"/>
        <v>0</v>
      </c>
      <c r="Y249" s="235">
        <f t="shared" si="45"/>
        <v>0</v>
      </c>
      <c r="Z249" s="235">
        <f t="shared" si="50"/>
        <v>0</v>
      </c>
      <c r="AA249" s="247">
        <f t="shared" si="48"/>
        <v>0</v>
      </c>
      <c r="AB249" s="239">
        <f>SUM(Y238:Y249)</f>
        <v>0</v>
      </c>
      <c r="AC249" s="521"/>
      <c r="AD249" s="234" t="s">
        <v>236</v>
      </c>
      <c r="AE249" s="235">
        <f t="shared" si="44"/>
        <v>0</v>
      </c>
      <c r="AF249" s="235">
        <f t="shared" si="46"/>
        <v>0</v>
      </c>
      <c r="AG249" s="235">
        <f t="shared" si="43"/>
        <v>0</v>
      </c>
      <c r="AH249" s="247">
        <f t="shared" si="49"/>
        <v>0</v>
      </c>
      <c r="AI249" s="239">
        <f>SUM(AF238:AF249)</f>
        <v>0</v>
      </c>
      <c r="AJ249" s="208">
        <f>V238</f>
        <v>2040</v>
      </c>
      <c r="AK249" s="240">
        <f>G249+N249+U249+AB249+AI249</f>
        <v>0</v>
      </c>
    </row>
    <row r="250" spans="1:37" x14ac:dyDescent="0.2">
      <c r="A250" s="248"/>
      <c r="B250" s="234"/>
      <c r="C250" s="235"/>
      <c r="D250" s="235"/>
      <c r="E250" s="235"/>
      <c r="F250" s="236"/>
      <c r="G250" s="239"/>
      <c r="H250" s="248"/>
      <c r="I250" s="234"/>
      <c r="J250" s="235"/>
      <c r="K250" s="235"/>
      <c r="L250" s="235"/>
      <c r="M250" s="236"/>
      <c r="N250" s="239"/>
      <c r="O250" s="252"/>
      <c r="P250" s="234"/>
      <c r="Q250" s="235"/>
      <c r="R250" s="235"/>
      <c r="S250" s="235"/>
      <c r="T250" s="236"/>
      <c r="U250" s="239"/>
      <c r="V250" s="519">
        <v>2041</v>
      </c>
      <c r="W250" s="234" t="s">
        <v>225</v>
      </c>
      <c r="X250" s="235">
        <f t="shared" si="47"/>
        <v>0</v>
      </c>
      <c r="Y250" s="235">
        <f t="shared" si="45"/>
        <v>0</v>
      </c>
      <c r="Z250" s="235">
        <f t="shared" si="50"/>
        <v>0</v>
      </c>
      <c r="AA250" s="247">
        <f t="shared" si="48"/>
        <v>0</v>
      </c>
      <c r="AB250" s="237"/>
      <c r="AC250" s="519">
        <v>2041</v>
      </c>
      <c r="AD250" s="234" t="s">
        <v>225</v>
      </c>
      <c r="AE250" s="235">
        <f t="shared" si="44"/>
        <v>0</v>
      </c>
      <c r="AF250" s="235">
        <f t="shared" si="46"/>
        <v>0</v>
      </c>
      <c r="AG250" s="235">
        <f t="shared" si="43"/>
        <v>0</v>
      </c>
      <c r="AH250" s="247">
        <f t="shared" si="49"/>
        <v>0</v>
      </c>
      <c r="AI250" s="237"/>
      <c r="AK250" s="240"/>
    </row>
    <row r="251" spans="1:37" x14ac:dyDescent="0.2">
      <c r="A251" s="248"/>
      <c r="B251" s="234"/>
      <c r="C251" s="235"/>
      <c r="D251" s="235"/>
      <c r="E251" s="235"/>
      <c r="F251" s="236"/>
      <c r="G251" s="239"/>
      <c r="H251" s="248"/>
      <c r="I251" s="234"/>
      <c r="J251" s="235"/>
      <c r="K251" s="235"/>
      <c r="L251" s="235"/>
      <c r="M251" s="236"/>
      <c r="N251" s="239"/>
      <c r="O251" s="252"/>
      <c r="P251" s="234"/>
      <c r="Q251" s="235"/>
      <c r="R251" s="235"/>
      <c r="S251" s="235"/>
      <c r="T251" s="236"/>
      <c r="U251" s="239"/>
      <c r="V251" s="520"/>
      <c r="W251" s="234" t="s">
        <v>226</v>
      </c>
      <c r="X251" s="235">
        <f t="shared" si="47"/>
        <v>0</v>
      </c>
      <c r="Y251" s="235">
        <f t="shared" si="45"/>
        <v>0</v>
      </c>
      <c r="Z251" s="235">
        <f t="shared" si="50"/>
        <v>0</v>
      </c>
      <c r="AA251" s="247">
        <f t="shared" si="48"/>
        <v>0</v>
      </c>
      <c r="AB251" s="238"/>
      <c r="AC251" s="520"/>
      <c r="AD251" s="234" t="s">
        <v>226</v>
      </c>
      <c r="AE251" s="235">
        <f t="shared" si="44"/>
        <v>0</v>
      </c>
      <c r="AF251" s="235">
        <f t="shared" si="46"/>
        <v>0</v>
      </c>
      <c r="AG251" s="235">
        <f t="shared" si="43"/>
        <v>0</v>
      </c>
      <c r="AH251" s="247">
        <f t="shared" si="49"/>
        <v>0</v>
      </c>
      <c r="AI251" s="238"/>
      <c r="AK251" s="240"/>
    </row>
    <row r="252" spans="1:37" x14ac:dyDescent="0.2">
      <c r="A252" s="248"/>
      <c r="B252" s="234"/>
      <c r="C252" s="235"/>
      <c r="D252" s="235"/>
      <c r="E252" s="235"/>
      <c r="F252" s="236"/>
      <c r="G252" s="239"/>
      <c r="H252" s="248"/>
      <c r="I252" s="234"/>
      <c r="J252" s="235"/>
      <c r="K252" s="235"/>
      <c r="L252" s="235"/>
      <c r="M252" s="236"/>
      <c r="N252" s="239"/>
      <c r="O252" s="252"/>
      <c r="P252" s="234"/>
      <c r="Q252" s="235"/>
      <c r="R252" s="235"/>
      <c r="S252" s="235"/>
      <c r="T252" s="236"/>
      <c r="U252" s="239"/>
      <c r="V252" s="520"/>
      <c r="W252" s="234" t="s">
        <v>227</v>
      </c>
      <c r="X252" s="235">
        <f t="shared" si="47"/>
        <v>0</v>
      </c>
      <c r="Y252" s="235">
        <f t="shared" si="45"/>
        <v>0</v>
      </c>
      <c r="Z252" s="235">
        <f t="shared" si="50"/>
        <v>0</v>
      </c>
      <c r="AA252" s="247">
        <f t="shared" si="48"/>
        <v>0</v>
      </c>
      <c r="AB252" s="238"/>
      <c r="AC252" s="520"/>
      <c r="AD252" s="234" t="s">
        <v>227</v>
      </c>
      <c r="AE252" s="235">
        <f t="shared" si="44"/>
        <v>0</v>
      </c>
      <c r="AF252" s="235">
        <f t="shared" si="46"/>
        <v>0</v>
      </c>
      <c r="AG252" s="235">
        <f t="shared" si="43"/>
        <v>0</v>
      </c>
      <c r="AH252" s="247">
        <f t="shared" si="49"/>
        <v>0</v>
      </c>
      <c r="AI252" s="238"/>
      <c r="AK252" s="240"/>
    </row>
    <row r="253" spans="1:37" x14ac:dyDescent="0.2">
      <c r="A253" s="248"/>
      <c r="B253" s="234"/>
      <c r="C253" s="235"/>
      <c r="D253" s="235"/>
      <c r="E253" s="235"/>
      <c r="F253" s="236"/>
      <c r="G253" s="239"/>
      <c r="H253" s="248"/>
      <c r="I253" s="234"/>
      <c r="J253" s="235"/>
      <c r="K253" s="235"/>
      <c r="L253" s="235"/>
      <c r="M253" s="236"/>
      <c r="N253" s="239"/>
      <c r="O253" s="252"/>
      <c r="P253" s="234"/>
      <c r="Q253" s="235"/>
      <c r="R253" s="235"/>
      <c r="S253" s="235"/>
      <c r="T253" s="236"/>
      <c r="U253" s="239"/>
      <c r="V253" s="520"/>
      <c r="W253" s="234" t="s">
        <v>228</v>
      </c>
      <c r="X253" s="235">
        <f t="shared" si="47"/>
        <v>0</v>
      </c>
      <c r="Y253" s="235">
        <f t="shared" si="45"/>
        <v>0</v>
      </c>
      <c r="Z253" s="235">
        <f t="shared" si="50"/>
        <v>0</v>
      </c>
      <c r="AA253" s="247">
        <f t="shared" si="48"/>
        <v>0</v>
      </c>
      <c r="AB253" s="238"/>
      <c r="AC253" s="520"/>
      <c r="AD253" s="234" t="s">
        <v>228</v>
      </c>
      <c r="AE253" s="235">
        <f t="shared" si="44"/>
        <v>0</v>
      </c>
      <c r="AF253" s="235">
        <f t="shared" si="46"/>
        <v>0</v>
      </c>
      <c r="AG253" s="235">
        <f t="shared" si="43"/>
        <v>0</v>
      </c>
      <c r="AH253" s="247">
        <f t="shared" si="49"/>
        <v>0</v>
      </c>
      <c r="AI253" s="238"/>
      <c r="AK253" s="240"/>
    </row>
    <row r="254" spans="1:37" x14ac:dyDescent="0.2">
      <c r="A254" s="248"/>
      <c r="B254" s="234"/>
      <c r="C254" s="235"/>
      <c r="D254" s="235"/>
      <c r="E254" s="235"/>
      <c r="F254" s="236"/>
      <c r="G254" s="239"/>
      <c r="H254" s="248"/>
      <c r="I254" s="234"/>
      <c r="J254" s="235"/>
      <c r="K254" s="235"/>
      <c r="L254" s="235"/>
      <c r="M254" s="236"/>
      <c r="N254" s="239"/>
      <c r="O254" s="252"/>
      <c r="P254" s="234"/>
      <c r="Q254" s="235"/>
      <c r="R254" s="235"/>
      <c r="S254" s="235"/>
      <c r="T254" s="236"/>
      <c r="U254" s="239"/>
      <c r="V254" s="520"/>
      <c r="W254" s="234" t="s">
        <v>229</v>
      </c>
      <c r="X254" s="235">
        <f t="shared" si="47"/>
        <v>0</v>
      </c>
      <c r="Y254" s="235">
        <f t="shared" si="45"/>
        <v>0</v>
      </c>
      <c r="Z254" s="235">
        <f t="shared" si="50"/>
        <v>0</v>
      </c>
      <c r="AA254" s="247">
        <f t="shared" si="48"/>
        <v>0</v>
      </c>
      <c r="AB254" s="238"/>
      <c r="AC254" s="520"/>
      <c r="AD254" s="234" t="s">
        <v>229</v>
      </c>
      <c r="AE254" s="235">
        <f t="shared" si="44"/>
        <v>0</v>
      </c>
      <c r="AF254" s="235">
        <f t="shared" si="46"/>
        <v>0</v>
      </c>
      <c r="AG254" s="235">
        <f t="shared" si="43"/>
        <v>0</v>
      </c>
      <c r="AH254" s="247">
        <f t="shared" si="49"/>
        <v>0</v>
      </c>
      <c r="AI254" s="238"/>
      <c r="AK254" s="240"/>
    </row>
    <row r="255" spans="1:37" x14ac:dyDescent="0.2">
      <c r="A255" s="248"/>
      <c r="B255" s="234"/>
      <c r="C255" s="235"/>
      <c r="D255" s="235"/>
      <c r="E255" s="235"/>
      <c r="F255" s="236"/>
      <c r="G255" s="239"/>
      <c r="H255" s="248"/>
      <c r="I255" s="234"/>
      <c r="J255" s="235"/>
      <c r="K255" s="235"/>
      <c r="L255" s="235"/>
      <c r="M255" s="236"/>
      <c r="N255" s="239"/>
      <c r="O255" s="252"/>
      <c r="P255" s="234"/>
      <c r="Q255" s="235"/>
      <c r="R255" s="235"/>
      <c r="S255" s="235"/>
      <c r="T255" s="236"/>
      <c r="U255" s="239"/>
      <c r="V255" s="520"/>
      <c r="W255" s="234" t="s">
        <v>230</v>
      </c>
      <c r="X255" s="235">
        <f t="shared" si="47"/>
        <v>0</v>
      </c>
      <c r="Y255" s="235">
        <f t="shared" si="45"/>
        <v>0</v>
      </c>
      <c r="Z255" s="235">
        <f t="shared" si="50"/>
        <v>0</v>
      </c>
      <c r="AA255" s="247">
        <f t="shared" si="48"/>
        <v>0</v>
      </c>
      <c r="AB255" s="238"/>
      <c r="AC255" s="520"/>
      <c r="AD255" s="234" t="s">
        <v>230</v>
      </c>
      <c r="AE255" s="235">
        <f t="shared" si="44"/>
        <v>0</v>
      </c>
      <c r="AF255" s="235">
        <f t="shared" si="46"/>
        <v>0</v>
      </c>
      <c r="AG255" s="235">
        <f t="shared" si="43"/>
        <v>0</v>
      </c>
      <c r="AH255" s="247">
        <f t="shared" si="49"/>
        <v>0</v>
      </c>
      <c r="AI255" s="238"/>
      <c r="AK255" s="240"/>
    </row>
    <row r="256" spans="1:37" x14ac:dyDescent="0.2">
      <c r="A256" s="248"/>
      <c r="B256" s="234"/>
      <c r="C256" s="235"/>
      <c r="D256" s="235"/>
      <c r="E256" s="235"/>
      <c r="F256" s="236"/>
      <c r="G256" s="239"/>
      <c r="H256" s="248"/>
      <c r="I256" s="234"/>
      <c r="J256" s="235"/>
      <c r="K256" s="235"/>
      <c r="L256" s="235"/>
      <c r="M256" s="236"/>
      <c r="N256" s="239"/>
      <c r="O256" s="252"/>
      <c r="P256" s="234"/>
      <c r="Q256" s="235"/>
      <c r="R256" s="235"/>
      <c r="S256" s="235"/>
      <c r="T256" s="236"/>
      <c r="U256" s="239"/>
      <c r="V256" s="520"/>
      <c r="W256" s="234" t="s">
        <v>231</v>
      </c>
      <c r="X256" s="235">
        <f t="shared" si="47"/>
        <v>0</v>
      </c>
      <c r="Y256" s="235">
        <f t="shared" si="45"/>
        <v>0</v>
      </c>
      <c r="Z256" s="235">
        <f t="shared" si="50"/>
        <v>0</v>
      </c>
      <c r="AA256" s="247">
        <f t="shared" si="48"/>
        <v>0</v>
      </c>
      <c r="AB256" s="238"/>
      <c r="AC256" s="520"/>
      <c r="AD256" s="234" t="s">
        <v>231</v>
      </c>
      <c r="AE256" s="235">
        <f t="shared" si="44"/>
        <v>0</v>
      </c>
      <c r="AF256" s="235">
        <f t="shared" si="46"/>
        <v>0</v>
      </c>
      <c r="AG256" s="235">
        <f t="shared" ref="AG256:AG309" si="51">AE$7/AF$8</f>
        <v>0</v>
      </c>
      <c r="AH256" s="247">
        <f t="shared" si="49"/>
        <v>0</v>
      </c>
      <c r="AI256" s="238"/>
      <c r="AK256" s="240"/>
    </row>
    <row r="257" spans="1:37" x14ac:dyDescent="0.2">
      <c r="A257" s="248"/>
      <c r="B257" s="234"/>
      <c r="C257" s="235"/>
      <c r="D257" s="235"/>
      <c r="E257" s="235"/>
      <c r="F257" s="236"/>
      <c r="G257" s="239"/>
      <c r="H257" s="248"/>
      <c r="I257" s="234"/>
      <c r="J257" s="235"/>
      <c r="K257" s="235"/>
      <c r="L257" s="235"/>
      <c r="M257" s="236"/>
      <c r="N257" s="239"/>
      <c r="O257" s="252"/>
      <c r="P257" s="234"/>
      <c r="Q257" s="235"/>
      <c r="R257" s="235"/>
      <c r="S257" s="235"/>
      <c r="T257" s="236"/>
      <c r="U257" s="239"/>
      <c r="V257" s="520"/>
      <c r="W257" s="234" t="s">
        <v>232</v>
      </c>
      <c r="X257" s="235">
        <f t="shared" si="47"/>
        <v>0</v>
      </c>
      <c r="Y257" s="235">
        <f t="shared" si="45"/>
        <v>0</v>
      </c>
      <c r="Z257" s="235">
        <f t="shared" si="50"/>
        <v>0</v>
      </c>
      <c r="AA257" s="247">
        <f t="shared" si="48"/>
        <v>0</v>
      </c>
      <c r="AB257" s="238"/>
      <c r="AC257" s="520"/>
      <c r="AD257" s="234" t="s">
        <v>232</v>
      </c>
      <c r="AE257" s="235">
        <f t="shared" si="44"/>
        <v>0</v>
      </c>
      <c r="AF257" s="235">
        <f t="shared" si="46"/>
        <v>0</v>
      </c>
      <c r="AG257" s="235">
        <f t="shared" si="51"/>
        <v>0</v>
      </c>
      <c r="AH257" s="247">
        <f t="shared" si="49"/>
        <v>0</v>
      </c>
      <c r="AI257" s="238"/>
      <c r="AK257" s="240"/>
    </row>
    <row r="258" spans="1:37" x14ac:dyDescent="0.2">
      <c r="A258" s="248"/>
      <c r="B258" s="234"/>
      <c r="C258" s="235"/>
      <c r="D258" s="235"/>
      <c r="E258" s="235"/>
      <c r="F258" s="236"/>
      <c r="G258" s="239"/>
      <c r="H258" s="248"/>
      <c r="I258" s="234"/>
      <c r="J258" s="235"/>
      <c r="K258" s="235"/>
      <c r="L258" s="235"/>
      <c r="M258" s="236"/>
      <c r="N258" s="239"/>
      <c r="O258" s="252"/>
      <c r="P258" s="234"/>
      <c r="Q258" s="235"/>
      <c r="R258" s="235"/>
      <c r="S258" s="235"/>
      <c r="T258" s="236"/>
      <c r="U258" s="239"/>
      <c r="V258" s="520"/>
      <c r="W258" s="234" t="s">
        <v>233</v>
      </c>
      <c r="X258" s="235">
        <f t="shared" si="47"/>
        <v>0</v>
      </c>
      <c r="Y258" s="235">
        <f t="shared" si="45"/>
        <v>0</v>
      </c>
      <c r="Z258" s="235">
        <f t="shared" si="50"/>
        <v>0</v>
      </c>
      <c r="AA258" s="247">
        <f t="shared" si="48"/>
        <v>0</v>
      </c>
      <c r="AB258" s="238"/>
      <c r="AC258" s="520"/>
      <c r="AD258" s="234" t="s">
        <v>233</v>
      </c>
      <c r="AE258" s="235">
        <f t="shared" si="44"/>
        <v>0</v>
      </c>
      <c r="AF258" s="235">
        <f t="shared" si="46"/>
        <v>0</v>
      </c>
      <c r="AG258" s="235">
        <f t="shared" si="51"/>
        <v>0</v>
      </c>
      <c r="AH258" s="247">
        <f t="shared" si="49"/>
        <v>0</v>
      </c>
      <c r="AI258" s="238"/>
      <c r="AK258" s="240"/>
    </row>
    <row r="259" spans="1:37" x14ac:dyDescent="0.2">
      <c r="A259" s="248"/>
      <c r="B259" s="234"/>
      <c r="C259" s="235"/>
      <c r="D259" s="235"/>
      <c r="E259" s="235"/>
      <c r="F259" s="236"/>
      <c r="G259" s="239"/>
      <c r="H259" s="248"/>
      <c r="I259" s="234"/>
      <c r="J259" s="235"/>
      <c r="K259" s="235"/>
      <c r="L259" s="235"/>
      <c r="M259" s="236"/>
      <c r="N259" s="239"/>
      <c r="O259" s="252"/>
      <c r="P259" s="234"/>
      <c r="Q259" s="235"/>
      <c r="R259" s="235"/>
      <c r="S259" s="235"/>
      <c r="T259" s="236"/>
      <c r="U259" s="239"/>
      <c r="V259" s="520"/>
      <c r="W259" s="234" t="s">
        <v>234</v>
      </c>
      <c r="X259" s="235">
        <f t="shared" si="47"/>
        <v>0</v>
      </c>
      <c r="Y259" s="235">
        <f t="shared" si="45"/>
        <v>0</v>
      </c>
      <c r="Z259" s="235">
        <f t="shared" si="50"/>
        <v>0</v>
      </c>
      <c r="AA259" s="247">
        <f t="shared" si="48"/>
        <v>0</v>
      </c>
      <c r="AB259" s="238"/>
      <c r="AC259" s="520"/>
      <c r="AD259" s="234" t="s">
        <v>234</v>
      </c>
      <c r="AE259" s="235">
        <f t="shared" si="44"/>
        <v>0</v>
      </c>
      <c r="AF259" s="235">
        <f t="shared" si="46"/>
        <v>0</v>
      </c>
      <c r="AG259" s="235">
        <f t="shared" si="51"/>
        <v>0</v>
      </c>
      <c r="AH259" s="247">
        <f t="shared" si="49"/>
        <v>0</v>
      </c>
      <c r="AI259" s="238"/>
      <c r="AK259" s="240"/>
    </row>
    <row r="260" spans="1:37" x14ac:dyDescent="0.2">
      <c r="A260" s="248"/>
      <c r="B260" s="234"/>
      <c r="C260" s="235"/>
      <c r="D260" s="235"/>
      <c r="E260" s="235"/>
      <c r="F260" s="236"/>
      <c r="G260" s="239"/>
      <c r="H260" s="248"/>
      <c r="I260" s="234"/>
      <c r="J260" s="235"/>
      <c r="K260" s="235"/>
      <c r="L260" s="235"/>
      <c r="M260" s="236"/>
      <c r="N260" s="239"/>
      <c r="O260" s="252"/>
      <c r="P260" s="234"/>
      <c r="Q260" s="235"/>
      <c r="R260" s="235"/>
      <c r="S260" s="235"/>
      <c r="T260" s="236"/>
      <c r="U260" s="239"/>
      <c r="V260" s="520"/>
      <c r="W260" s="234" t="s">
        <v>235</v>
      </c>
      <c r="X260" s="235">
        <f t="shared" si="47"/>
        <v>0</v>
      </c>
      <c r="Y260" s="235">
        <f t="shared" si="45"/>
        <v>0</v>
      </c>
      <c r="Z260" s="235">
        <f t="shared" si="50"/>
        <v>0</v>
      </c>
      <c r="AA260" s="247">
        <f t="shared" si="48"/>
        <v>0</v>
      </c>
      <c r="AB260" s="238"/>
      <c r="AC260" s="520"/>
      <c r="AD260" s="234" t="s">
        <v>235</v>
      </c>
      <c r="AE260" s="235">
        <f t="shared" si="44"/>
        <v>0</v>
      </c>
      <c r="AF260" s="235">
        <f t="shared" si="46"/>
        <v>0</v>
      </c>
      <c r="AG260" s="235">
        <f t="shared" si="51"/>
        <v>0</v>
      </c>
      <c r="AH260" s="247">
        <f t="shared" si="49"/>
        <v>0</v>
      </c>
      <c r="AI260" s="238"/>
      <c r="AK260" s="240"/>
    </row>
    <row r="261" spans="1:37" x14ac:dyDescent="0.2">
      <c r="A261" s="248"/>
      <c r="B261" s="234"/>
      <c r="C261" s="235"/>
      <c r="D261" s="235"/>
      <c r="E261" s="235"/>
      <c r="F261" s="236"/>
      <c r="G261" s="239"/>
      <c r="H261" s="248"/>
      <c r="I261" s="234"/>
      <c r="J261" s="235"/>
      <c r="K261" s="235"/>
      <c r="L261" s="235"/>
      <c r="M261" s="236"/>
      <c r="N261" s="239"/>
      <c r="O261" s="252"/>
      <c r="P261" s="234"/>
      <c r="Q261" s="235"/>
      <c r="R261" s="235"/>
      <c r="S261" s="235"/>
      <c r="T261" s="236"/>
      <c r="U261" s="239"/>
      <c r="V261" s="521"/>
      <c r="W261" s="234" t="s">
        <v>236</v>
      </c>
      <c r="X261" s="235">
        <f t="shared" si="47"/>
        <v>0</v>
      </c>
      <c r="Y261" s="235">
        <f t="shared" si="45"/>
        <v>0</v>
      </c>
      <c r="Z261" s="235">
        <f t="shared" si="50"/>
        <v>0</v>
      </c>
      <c r="AA261" s="247">
        <f t="shared" si="48"/>
        <v>0</v>
      </c>
      <c r="AB261" s="239">
        <f>SUM(Y250:Y261)</f>
        <v>0</v>
      </c>
      <c r="AC261" s="521"/>
      <c r="AD261" s="234" t="s">
        <v>236</v>
      </c>
      <c r="AE261" s="235">
        <f t="shared" si="44"/>
        <v>0</v>
      </c>
      <c r="AF261" s="235">
        <f t="shared" si="46"/>
        <v>0</v>
      </c>
      <c r="AG261" s="235">
        <f t="shared" si="51"/>
        <v>0</v>
      </c>
      <c r="AH261" s="247">
        <f t="shared" si="49"/>
        <v>0</v>
      </c>
      <c r="AI261" s="239">
        <f>SUM(AF250:AF261)</f>
        <v>0</v>
      </c>
      <c r="AJ261" s="208">
        <f>V250</f>
        <v>2041</v>
      </c>
      <c r="AK261" s="240">
        <f>G261+N261+U261+AB261+AI261</f>
        <v>0</v>
      </c>
    </row>
    <row r="262" spans="1:37" x14ac:dyDescent="0.2">
      <c r="A262" s="248"/>
      <c r="B262" s="234"/>
      <c r="C262" s="235"/>
      <c r="D262" s="235"/>
      <c r="E262" s="235"/>
      <c r="F262" s="236"/>
      <c r="G262" s="239"/>
      <c r="H262" s="248"/>
      <c r="I262" s="234"/>
      <c r="J262" s="235"/>
      <c r="K262" s="235"/>
      <c r="L262" s="235"/>
      <c r="M262" s="236"/>
      <c r="N262" s="239"/>
      <c r="O262" s="252"/>
      <c r="P262" s="234"/>
      <c r="Q262" s="235"/>
      <c r="R262" s="235"/>
      <c r="S262" s="235"/>
      <c r="T262" s="236"/>
      <c r="U262" s="239"/>
      <c r="V262" s="519">
        <v>2042</v>
      </c>
      <c r="W262" s="234" t="s">
        <v>225</v>
      </c>
      <c r="X262" s="235">
        <f t="shared" si="47"/>
        <v>0</v>
      </c>
      <c r="Y262" s="235">
        <f t="shared" si="45"/>
        <v>0</v>
      </c>
      <c r="Z262" s="235">
        <f t="shared" si="50"/>
        <v>0</v>
      </c>
      <c r="AA262" s="247">
        <f t="shared" si="48"/>
        <v>0</v>
      </c>
      <c r="AB262" s="237"/>
      <c r="AC262" s="519">
        <v>2042</v>
      </c>
      <c r="AD262" s="234" t="s">
        <v>225</v>
      </c>
      <c r="AE262" s="235">
        <f t="shared" si="44"/>
        <v>0</v>
      </c>
      <c r="AF262" s="235">
        <f t="shared" si="46"/>
        <v>0</v>
      </c>
      <c r="AG262" s="235">
        <f t="shared" si="51"/>
        <v>0</v>
      </c>
      <c r="AH262" s="247">
        <f t="shared" si="49"/>
        <v>0</v>
      </c>
      <c r="AI262" s="237"/>
      <c r="AK262" s="240"/>
    </row>
    <row r="263" spans="1:37" x14ac:dyDescent="0.2">
      <c r="A263" s="248"/>
      <c r="B263" s="234"/>
      <c r="C263" s="235"/>
      <c r="D263" s="235"/>
      <c r="E263" s="235"/>
      <c r="F263" s="236"/>
      <c r="G263" s="239"/>
      <c r="H263" s="248"/>
      <c r="I263" s="234"/>
      <c r="J263" s="235"/>
      <c r="K263" s="235"/>
      <c r="L263" s="235"/>
      <c r="M263" s="236"/>
      <c r="N263" s="239"/>
      <c r="O263" s="252"/>
      <c r="P263" s="234"/>
      <c r="Q263" s="235"/>
      <c r="R263" s="235"/>
      <c r="S263" s="235"/>
      <c r="T263" s="236"/>
      <c r="U263" s="239"/>
      <c r="V263" s="520"/>
      <c r="W263" s="234" t="s">
        <v>226</v>
      </c>
      <c r="X263" s="235">
        <f t="shared" si="47"/>
        <v>0</v>
      </c>
      <c r="Y263" s="235">
        <f t="shared" si="45"/>
        <v>0</v>
      </c>
      <c r="Z263" s="235">
        <f t="shared" si="50"/>
        <v>0</v>
      </c>
      <c r="AA263" s="247">
        <f t="shared" si="48"/>
        <v>0</v>
      </c>
      <c r="AB263" s="238"/>
      <c r="AC263" s="520"/>
      <c r="AD263" s="234" t="s">
        <v>226</v>
      </c>
      <c r="AE263" s="235">
        <f t="shared" si="44"/>
        <v>0</v>
      </c>
      <c r="AF263" s="235">
        <f t="shared" si="46"/>
        <v>0</v>
      </c>
      <c r="AG263" s="235">
        <f t="shared" si="51"/>
        <v>0</v>
      </c>
      <c r="AH263" s="247">
        <f t="shared" si="49"/>
        <v>0</v>
      </c>
      <c r="AI263" s="238"/>
      <c r="AK263" s="240"/>
    </row>
    <row r="264" spans="1:37" x14ac:dyDescent="0.2">
      <c r="A264" s="248"/>
      <c r="B264" s="234"/>
      <c r="C264" s="235"/>
      <c r="D264" s="235"/>
      <c r="E264" s="235"/>
      <c r="F264" s="236"/>
      <c r="G264" s="239"/>
      <c r="H264" s="248"/>
      <c r="I264" s="234"/>
      <c r="J264" s="235"/>
      <c r="K264" s="235"/>
      <c r="L264" s="235"/>
      <c r="M264" s="236"/>
      <c r="N264" s="239"/>
      <c r="O264" s="252"/>
      <c r="P264" s="234"/>
      <c r="Q264" s="235"/>
      <c r="R264" s="235"/>
      <c r="S264" s="235"/>
      <c r="T264" s="236"/>
      <c r="U264" s="239"/>
      <c r="V264" s="520"/>
      <c r="W264" s="234" t="s">
        <v>227</v>
      </c>
      <c r="X264" s="235">
        <f t="shared" si="47"/>
        <v>0</v>
      </c>
      <c r="Y264" s="235">
        <f t="shared" si="45"/>
        <v>0</v>
      </c>
      <c r="Z264" s="235">
        <f t="shared" si="50"/>
        <v>0</v>
      </c>
      <c r="AA264" s="247">
        <f t="shared" si="48"/>
        <v>0</v>
      </c>
      <c r="AB264" s="238"/>
      <c r="AC264" s="520"/>
      <c r="AD264" s="234" t="s">
        <v>227</v>
      </c>
      <c r="AE264" s="235">
        <f t="shared" si="44"/>
        <v>0</v>
      </c>
      <c r="AF264" s="235">
        <f t="shared" si="46"/>
        <v>0</v>
      </c>
      <c r="AG264" s="235">
        <f t="shared" si="51"/>
        <v>0</v>
      </c>
      <c r="AH264" s="247">
        <f t="shared" si="49"/>
        <v>0</v>
      </c>
      <c r="AI264" s="238"/>
      <c r="AK264" s="240"/>
    </row>
    <row r="265" spans="1:37" x14ac:dyDescent="0.2">
      <c r="A265" s="248"/>
      <c r="B265" s="234"/>
      <c r="C265" s="235"/>
      <c r="D265" s="235"/>
      <c r="E265" s="235"/>
      <c r="F265" s="236"/>
      <c r="G265" s="239"/>
      <c r="H265" s="248"/>
      <c r="I265" s="234"/>
      <c r="J265" s="235"/>
      <c r="K265" s="235"/>
      <c r="L265" s="235"/>
      <c r="M265" s="236"/>
      <c r="N265" s="239"/>
      <c r="O265" s="252"/>
      <c r="P265" s="234"/>
      <c r="Q265" s="235"/>
      <c r="R265" s="235"/>
      <c r="S265" s="235"/>
      <c r="T265" s="236"/>
      <c r="U265" s="239"/>
      <c r="V265" s="520"/>
      <c r="W265" s="234" t="s">
        <v>228</v>
      </c>
      <c r="X265" s="235">
        <f t="shared" si="47"/>
        <v>0</v>
      </c>
      <c r="Y265" s="235">
        <f t="shared" si="45"/>
        <v>0</v>
      </c>
      <c r="Z265" s="235">
        <f t="shared" si="50"/>
        <v>0</v>
      </c>
      <c r="AA265" s="247">
        <f t="shared" si="48"/>
        <v>0</v>
      </c>
      <c r="AB265" s="238"/>
      <c r="AC265" s="520"/>
      <c r="AD265" s="234" t="s">
        <v>228</v>
      </c>
      <c r="AE265" s="235">
        <f t="shared" si="44"/>
        <v>0</v>
      </c>
      <c r="AF265" s="235">
        <f t="shared" si="46"/>
        <v>0</v>
      </c>
      <c r="AG265" s="235">
        <f t="shared" si="51"/>
        <v>0</v>
      </c>
      <c r="AH265" s="247">
        <f t="shared" si="49"/>
        <v>0</v>
      </c>
      <c r="AI265" s="238"/>
      <c r="AK265" s="240"/>
    </row>
    <row r="266" spans="1:37" x14ac:dyDescent="0.2">
      <c r="A266" s="248"/>
      <c r="B266" s="234"/>
      <c r="C266" s="235"/>
      <c r="D266" s="235"/>
      <c r="E266" s="235"/>
      <c r="F266" s="236"/>
      <c r="G266" s="239"/>
      <c r="H266" s="248"/>
      <c r="I266" s="234"/>
      <c r="J266" s="235"/>
      <c r="K266" s="235"/>
      <c r="L266" s="235"/>
      <c r="M266" s="236"/>
      <c r="N266" s="239"/>
      <c r="O266" s="252"/>
      <c r="P266" s="234"/>
      <c r="Q266" s="235"/>
      <c r="R266" s="235"/>
      <c r="S266" s="235"/>
      <c r="T266" s="236"/>
      <c r="U266" s="239"/>
      <c r="V266" s="520"/>
      <c r="W266" s="234" t="s">
        <v>229</v>
      </c>
      <c r="X266" s="235">
        <f t="shared" si="47"/>
        <v>0</v>
      </c>
      <c r="Y266" s="235">
        <f t="shared" si="45"/>
        <v>0</v>
      </c>
      <c r="Z266" s="235">
        <f t="shared" si="50"/>
        <v>0</v>
      </c>
      <c r="AA266" s="247">
        <f t="shared" si="48"/>
        <v>0</v>
      </c>
      <c r="AB266" s="238"/>
      <c r="AC266" s="520"/>
      <c r="AD266" s="234" t="s">
        <v>229</v>
      </c>
      <c r="AE266" s="235">
        <f t="shared" si="44"/>
        <v>0</v>
      </c>
      <c r="AF266" s="235">
        <f t="shared" si="46"/>
        <v>0</v>
      </c>
      <c r="AG266" s="235">
        <f t="shared" si="51"/>
        <v>0</v>
      </c>
      <c r="AH266" s="247">
        <f t="shared" si="49"/>
        <v>0</v>
      </c>
      <c r="AI266" s="238"/>
      <c r="AK266" s="240"/>
    </row>
    <row r="267" spans="1:37" x14ac:dyDescent="0.2">
      <c r="A267" s="248"/>
      <c r="B267" s="234"/>
      <c r="C267" s="235"/>
      <c r="D267" s="235"/>
      <c r="E267" s="235"/>
      <c r="F267" s="236"/>
      <c r="G267" s="239"/>
      <c r="H267" s="248"/>
      <c r="I267" s="234"/>
      <c r="J267" s="235"/>
      <c r="K267" s="235"/>
      <c r="L267" s="235"/>
      <c r="M267" s="236"/>
      <c r="N267" s="239"/>
      <c r="O267" s="252"/>
      <c r="P267" s="234"/>
      <c r="Q267" s="235"/>
      <c r="R267" s="235"/>
      <c r="S267" s="235"/>
      <c r="T267" s="236"/>
      <c r="U267" s="239"/>
      <c r="V267" s="520"/>
      <c r="W267" s="234" t="s">
        <v>230</v>
      </c>
      <c r="X267" s="235">
        <f t="shared" si="47"/>
        <v>0</v>
      </c>
      <c r="Y267" s="235">
        <f t="shared" si="45"/>
        <v>0</v>
      </c>
      <c r="Z267" s="235">
        <f t="shared" si="50"/>
        <v>0</v>
      </c>
      <c r="AA267" s="247">
        <f t="shared" si="48"/>
        <v>0</v>
      </c>
      <c r="AB267" s="238"/>
      <c r="AC267" s="520"/>
      <c r="AD267" s="234" t="s">
        <v>230</v>
      </c>
      <c r="AE267" s="235">
        <f t="shared" si="44"/>
        <v>0</v>
      </c>
      <c r="AF267" s="235">
        <f t="shared" si="46"/>
        <v>0</v>
      </c>
      <c r="AG267" s="235">
        <f t="shared" si="51"/>
        <v>0</v>
      </c>
      <c r="AH267" s="247">
        <f t="shared" si="49"/>
        <v>0</v>
      </c>
      <c r="AI267" s="238"/>
      <c r="AK267" s="240"/>
    </row>
    <row r="268" spans="1:37" x14ac:dyDescent="0.2">
      <c r="A268" s="248"/>
      <c r="B268" s="234"/>
      <c r="C268" s="235"/>
      <c r="D268" s="235"/>
      <c r="E268" s="235"/>
      <c r="F268" s="236"/>
      <c r="G268" s="239"/>
      <c r="H268" s="248"/>
      <c r="I268" s="234"/>
      <c r="J268" s="235"/>
      <c r="K268" s="235"/>
      <c r="L268" s="235"/>
      <c r="M268" s="236"/>
      <c r="N268" s="239"/>
      <c r="O268" s="252"/>
      <c r="P268" s="234"/>
      <c r="Q268" s="235"/>
      <c r="R268" s="235"/>
      <c r="S268" s="235"/>
      <c r="T268" s="236"/>
      <c r="U268" s="239"/>
      <c r="V268" s="520"/>
      <c r="W268" s="234" t="s">
        <v>231</v>
      </c>
      <c r="X268" s="235">
        <f t="shared" si="47"/>
        <v>0</v>
      </c>
      <c r="Y268" s="235">
        <f t="shared" si="45"/>
        <v>0</v>
      </c>
      <c r="Z268" s="235">
        <f t="shared" si="50"/>
        <v>0</v>
      </c>
      <c r="AA268" s="247">
        <f t="shared" si="48"/>
        <v>0</v>
      </c>
      <c r="AB268" s="238"/>
      <c r="AC268" s="520"/>
      <c r="AD268" s="234" t="s">
        <v>231</v>
      </c>
      <c r="AE268" s="235">
        <f t="shared" si="44"/>
        <v>0</v>
      </c>
      <c r="AF268" s="235">
        <f t="shared" si="46"/>
        <v>0</v>
      </c>
      <c r="AG268" s="235">
        <f t="shared" si="51"/>
        <v>0</v>
      </c>
      <c r="AH268" s="247">
        <f t="shared" si="49"/>
        <v>0</v>
      </c>
      <c r="AI268" s="238"/>
      <c r="AK268" s="240"/>
    </row>
    <row r="269" spans="1:37" x14ac:dyDescent="0.2">
      <c r="A269" s="248"/>
      <c r="B269" s="234"/>
      <c r="C269" s="235"/>
      <c r="D269" s="235"/>
      <c r="E269" s="235"/>
      <c r="F269" s="236"/>
      <c r="G269" s="239"/>
      <c r="H269" s="248"/>
      <c r="I269" s="234"/>
      <c r="J269" s="235"/>
      <c r="K269" s="235"/>
      <c r="L269" s="235"/>
      <c r="M269" s="236"/>
      <c r="N269" s="239"/>
      <c r="O269" s="252"/>
      <c r="P269" s="234"/>
      <c r="Q269" s="235"/>
      <c r="R269" s="235"/>
      <c r="S269" s="235"/>
      <c r="T269" s="236"/>
      <c r="U269" s="239"/>
      <c r="V269" s="520"/>
      <c r="W269" s="234" t="s">
        <v>232</v>
      </c>
      <c r="X269" s="235">
        <f t="shared" si="47"/>
        <v>0</v>
      </c>
      <c r="Y269" s="235">
        <f t="shared" si="45"/>
        <v>0</v>
      </c>
      <c r="Z269" s="235">
        <f t="shared" si="50"/>
        <v>0</v>
      </c>
      <c r="AA269" s="247">
        <f t="shared" si="48"/>
        <v>0</v>
      </c>
      <c r="AB269" s="238"/>
      <c r="AC269" s="520"/>
      <c r="AD269" s="234" t="s">
        <v>232</v>
      </c>
      <c r="AE269" s="235">
        <f t="shared" si="44"/>
        <v>0</v>
      </c>
      <c r="AF269" s="235">
        <f t="shared" si="46"/>
        <v>0</v>
      </c>
      <c r="AG269" s="235">
        <f t="shared" si="51"/>
        <v>0</v>
      </c>
      <c r="AH269" s="247">
        <f t="shared" si="49"/>
        <v>0</v>
      </c>
      <c r="AI269" s="238"/>
      <c r="AK269" s="240"/>
    </row>
    <row r="270" spans="1:37" x14ac:dyDescent="0.2">
      <c r="A270" s="248"/>
      <c r="B270" s="234"/>
      <c r="C270" s="235"/>
      <c r="D270" s="235"/>
      <c r="E270" s="235"/>
      <c r="F270" s="236"/>
      <c r="G270" s="239"/>
      <c r="H270" s="248"/>
      <c r="I270" s="234"/>
      <c r="J270" s="235"/>
      <c r="K270" s="235"/>
      <c r="L270" s="235"/>
      <c r="M270" s="236"/>
      <c r="N270" s="239"/>
      <c r="O270" s="252"/>
      <c r="P270" s="234"/>
      <c r="Q270" s="235"/>
      <c r="R270" s="235"/>
      <c r="S270" s="235"/>
      <c r="T270" s="236"/>
      <c r="U270" s="239"/>
      <c r="V270" s="520"/>
      <c r="W270" s="234" t="s">
        <v>233</v>
      </c>
      <c r="X270" s="235">
        <f t="shared" si="47"/>
        <v>0</v>
      </c>
      <c r="Y270" s="235">
        <f t="shared" si="45"/>
        <v>0</v>
      </c>
      <c r="Z270" s="235">
        <f t="shared" si="50"/>
        <v>0</v>
      </c>
      <c r="AA270" s="247">
        <f t="shared" si="48"/>
        <v>0</v>
      </c>
      <c r="AB270" s="238"/>
      <c r="AC270" s="520"/>
      <c r="AD270" s="234" t="s">
        <v>233</v>
      </c>
      <c r="AE270" s="235">
        <f t="shared" si="44"/>
        <v>0</v>
      </c>
      <c r="AF270" s="235">
        <f t="shared" si="46"/>
        <v>0</v>
      </c>
      <c r="AG270" s="235">
        <f t="shared" si="51"/>
        <v>0</v>
      </c>
      <c r="AH270" s="247">
        <f t="shared" si="49"/>
        <v>0</v>
      </c>
      <c r="AI270" s="238"/>
      <c r="AK270" s="240"/>
    </row>
    <row r="271" spans="1:37" x14ac:dyDescent="0.2">
      <c r="A271" s="248"/>
      <c r="B271" s="234"/>
      <c r="C271" s="235"/>
      <c r="D271" s="235"/>
      <c r="E271" s="235"/>
      <c r="F271" s="236"/>
      <c r="G271" s="239"/>
      <c r="H271" s="248"/>
      <c r="I271" s="234"/>
      <c r="J271" s="235"/>
      <c r="K271" s="235"/>
      <c r="L271" s="235"/>
      <c r="M271" s="236"/>
      <c r="N271" s="239"/>
      <c r="O271" s="252"/>
      <c r="P271" s="234"/>
      <c r="Q271" s="235"/>
      <c r="R271" s="235"/>
      <c r="S271" s="235"/>
      <c r="T271" s="236"/>
      <c r="U271" s="239"/>
      <c r="V271" s="520"/>
      <c r="W271" s="234" t="s">
        <v>234</v>
      </c>
      <c r="X271" s="235">
        <f t="shared" si="47"/>
        <v>0</v>
      </c>
      <c r="Y271" s="235">
        <f t="shared" si="45"/>
        <v>0</v>
      </c>
      <c r="Z271" s="235">
        <f t="shared" si="50"/>
        <v>0</v>
      </c>
      <c r="AA271" s="247">
        <f t="shared" si="48"/>
        <v>0</v>
      </c>
      <c r="AB271" s="238"/>
      <c r="AC271" s="520"/>
      <c r="AD271" s="234" t="s">
        <v>234</v>
      </c>
      <c r="AE271" s="235">
        <f t="shared" ref="AE271:AE309" si="52">AE270-AG270</f>
        <v>0</v>
      </c>
      <c r="AF271" s="235">
        <f t="shared" si="46"/>
        <v>0</v>
      </c>
      <c r="AG271" s="235">
        <f t="shared" si="51"/>
        <v>0</v>
      </c>
      <c r="AH271" s="247">
        <f t="shared" si="49"/>
        <v>0</v>
      </c>
      <c r="AI271" s="238"/>
      <c r="AK271" s="240"/>
    </row>
    <row r="272" spans="1:37" x14ac:dyDescent="0.2">
      <c r="A272" s="248"/>
      <c r="B272" s="234"/>
      <c r="C272" s="235"/>
      <c r="D272" s="235"/>
      <c r="E272" s="235"/>
      <c r="F272" s="236"/>
      <c r="G272" s="239"/>
      <c r="H272" s="248"/>
      <c r="I272" s="234"/>
      <c r="J272" s="235"/>
      <c r="K272" s="235"/>
      <c r="L272" s="235"/>
      <c r="M272" s="236"/>
      <c r="N272" s="239"/>
      <c r="O272" s="252"/>
      <c r="P272" s="234"/>
      <c r="Q272" s="235"/>
      <c r="R272" s="235"/>
      <c r="S272" s="235"/>
      <c r="T272" s="236"/>
      <c r="U272" s="239"/>
      <c r="V272" s="520"/>
      <c r="W272" s="234" t="s">
        <v>235</v>
      </c>
      <c r="X272" s="235">
        <f t="shared" si="47"/>
        <v>0</v>
      </c>
      <c r="Y272" s="235">
        <f t="shared" si="45"/>
        <v>0</v>
      </c>
      <c r="Z272" s="235">
        <f t="shared" si="50"/>
        <v>0</v>
      </c>
      <c r="AA272" s="247">
        <f t="shared" si="48"/>
        <v>0</v>
      </c>
      <c r="AB272" s="238"/>
      <c r="AC272" s="520"/>
      <c r="AD272" s="234" t="s">
        <v>235</v>
      </c>
      <c r="AE272" s="235">
        <f t="shared" si="52"/>
        <v>0</v>
      </c>
      <c r="AF272" s="235">
        <f t="shared" si="46"/>
        <v>0</v>
      </c>
      <c r="AG272" s="235">
        <f t="shared" si="51"/>
        <v>0</v>
      </c>
      <c r="AH272" s="247">
        <f t="shared" si="49"/>
        <v>0</v>
      </c>
      <c r="AI272" s="238"/>
      <c r="AK272" s="240"/>
    </row>
    <row r="273" spans="1:37" x14ac:dyDescent="0.2">
      <c r="A273" s="248"/>
      <c r="B273" s="234"/>
      <c r="C273" s="235"/>
      <c r="D273" s="235"/>
      <c r="E273" s="235"/>
      <c r="F273" s="236"/>
      <c r="G273" s="239"/>
      <c r="H273" s="248"/>
      <c r="I273" s="234"/>
      <c r="J273" s="235"/>
      <c r="K273" s="235"/>
      <c r="L273" s="235"/>
      <c r="M273" s="236"/>
      <c r="N273" s="239"/>
      <c r="O273" s="252"/>
      <c r="P273" s="234"/>
      <c r="Q273" s="235"/>
      <c r="R273" s="235"/>
      <c r="S273" s="235"/>
      <c r="T273" s="236"/>
      <c r="U273" s="239"/>
      <c r="V273" s="521"/>
      <c r="W273" s="234" t="s">
        <v>236</v>
      </c>
      <c r="X273" s="235">
        <f t="shared" si="47"/>
        <v>0</v>
      </c>
      <c r="Y273" s="235">
        <f t="shared" si="45"/>
        <v>0</v>
      </c>
      <c r="Z273" s="235">
        <f t="shared" si="50"/>
        <v>0</v>
      </c>
      <c r="AA273" s="247">
        <f t="shared" si="48"/>
        <v>0</v>
      </c>
      <c r="AB273" s="239">
        <f>SUM(Y262:Y273)</f>
        <v>0</v>
      </c>
      <c r="AC273" s="521"/>
      <c r="AD273" s="234" t="s">
        <v>236</v>
      </c>
      <c r="AE273" s="235">
        <f t="shared" si="52"/>
        <v>0</v>
      </c>
      <c r="AF273" s="235">
        <f t="shared" si="46"/>
        <v>0</v>
      </c>
      <c r="AG273" s="235">
        <f t="shared" si="51"/>
        <v>0</v>
      </c>
      <c r="AH273" s="247">
        <f t="shared" si="49"/>
        <v>0</v>
      </c>
      <c r="AI273" s="239">
        <f>SUM(AF262:AF273)</f>
        <v>0</v>
      </c>
      <c r="AJ273" s="208">
        <f>V262</f>
        <v>2042</v>
      </c>
      <c r="AK273" s="240">
        <f>G273+N273+U273+AB273+AI273</f>
        <v>0</v>
      </c>
    </row>
    <row r="274" spans="1:37" x14ac:dyDescent="0.2">
      <c r="A274" s="248"/>
      <c r="B274" s="234"/>
      <c r="C274" s="235"/>
      <c r="D274" s="235"/>
      <c r="E274" s="235"/>
      <c r="F274" s="236"/>
      <c r="G274" s="239"/>
      <c r="H274" s="248"/>
      <c r="I274" s="234"/>
      <c r="J274" s="235"/>
      <c r="K274" s="235"/>
      <c r="L274" s="235"/>
      <c r="M274" s="236"/>
      <c r="N274" s="239"/>
      <c r="O274" s="513">
        <f>O190+1</f>
        <v>2037</v>
      </c>
      <c r="P274" s="234" t="s">
        <v>225</v>
      </c>
      <c r="Q274" s="235"/>
      <c r="R274" s="235"/>
      <c r="S274" s="235"/>
      <c r="T274" s="236">
        <f t="shared" ref="T274:T285" si="53">R274+S274</f>
        <v>0</v>
      </c>
      <c r="U274" s="239"/>
      <c r="V274" s="519">
        <v>2043</v>
      </c>
      <c r="W274" s="234" t="s">
        <v>225</v>
      </c>
      <c r="X274" s="235"/>
      <c r="Y274" s="235"/>
      <c r="Z274" s="235"/>
      <c r="AA274" s="247">
        <f t="shared" si="48"/>
        <v>0</v>
      </c>
      <c r="AB274" s="249"/>
      <c r="AC274" s="519">
        <v>2043</v>
      </c>
      <c r="AD274" s="234" t="s">
        <v>225</v>
      </c>
      <c r="AE274" s="235">
        <f t="shared" si="52"/>
        <v>0</v>
      </c>
      <c r="AF274" s="235">
        <f t="shared" si="46"/>
        <v>0</v>
      </c>
      <c r="AG274" s="235">
        <f t="shared" si="51"/>
        <v>0</v>
      </c>
      <c r="AH274" s="247">
        <f t="shared" si="49"/>
        <v>0</v>
      </c>
      <c r="AI274" s="249"/>
      <c r="AK274" s="240"/>
    </row>
    <row r="275" spans="1:37" x14ac:dyDescent="0.2">
      <c r="A275" s="248"/>
      <c r="B275" s="234"/>
      <c r="C275" s="235"/>
      <c r="D275" s="235"/>
      <c r="E275" s="235"/>
      <c r="F275" s="236"/>
      <c r="G275" s="239"/>
      <c r="H275" s="248"/>
      <c r="I275" s="234"/>
      <c r="J275" s="235"/>
      <c r="K275" s="235"/>
      <c r="L275" s="235"/>
      <c r="M275" s="236"/>
      <c r="N275" s="239"/>
      <c r="O275" s="514"/>
      <c r="P275" s="234" t="s">
        <v>226</v>
      </c>
      <c r="Q275" s="235"/>
      <c r="R275" s="235"/>
      <c r="S275" s="235"/>
      <c r="T275" s="236">
        <f t="shared" si="53"/>
        <v>0</v>
      </c>
      <c r="U275" s="239"/>
      <c r="V275" s="520"/>
      <c r="W275" s="234" t="s">
        <v>226</v>
      </c>
      <c r="X275" s="235"/>
      <c r="Y275" s="235"/>
      <c r="Z275" s="235"/>
      <c r="AA275" s="247">
        <f t="shared" si="48"/>
        <v>0</v>
      </c>
      <c r="AB275" s="250"/>
      <c r="AC275" s="520"/>
      <c r="AD275" s="234" t="s">
        <v>226</v>
      </c>
      <c r="AE275" s="235">
        <f t="shared" si="52"/>
        <v>0</v>
      </c>
      <c r="AF275" s="235">
        <f t="shared" si="46"/>
        <v>0</v>
      </c>
      <c r="AG275" s="235">
        <f t="shared" si="51"/>
        <v>0</v>
      </c>
      <c r="AH275" s="247">
        <f t="shared" si="49"/>
        <v>0</v>
      </c>
      <c r="AI275" s="250"/>
      <c r="AK275" s="240"/>
    </row>
    <row r="276" spans="1:37" x14ac:dyDescent="0.2">
      <c r="A276" s="248"/>
      <c r="B276" s="234"/>
      <c r="C276" s="235"/>
      <c r="D276" s="235"/>
      <c r="E276" s="235"/>
      <c r="F276" s="236"/>
      <c r="G276" s="239"/>
      <c r="H276" s="248"/>
      <c r="I276" s="234"/>
      <c r="J276" s="235"/>
      <c r="K276" s="235"/>
      <c r="L276" s="235"/>
      <c r="M276" s="236"/>
      <c r="N276" s="239"/>
      <c r="O276" s="514"/>
      <c r="P276" s="234" t="s">
        <v>227</v>
      </c>
      <c r="Q276" s="235"/>
      <c r="R276" s="235"/>
      <c r="S276" s="235"/>
      <c r="T276" s="236">
        <f t="shared" si="53"/>
        <v>0</v>
      </c>
      <c r="U276" s="239"/>
      <c r="V276" s="520"/>
      <c r="W276" s="234" t="s">
        <v>227</v>
      </c>
      <c r="X276" s="235"/>
      <c r="Y276" s="235"/>
      <c r="Z276" s="235"/>
      <c r="AA276" s="247">
        <f t="shared" si="48"/>
        <v>0</v>
      </c>
      <c r="AB276" s="250"/>
      <c r="AC276" s="520"/>
      <c r="AD276" s="234" t="s">
        <v>227</v>
      </c>
      <c r="AE276" s="235">
        <f t="shared" si="52"/>
        <v>0</v>
      </c>
      <c r="AF276" s="235">
        <f t="shared" si="46"/>
        <v>0</v>
      </c>
      <c r="AG276" s="235">
        <f t="shared" si="51"/>
        <v>0</v>
      </c>
      <c r="AH276" s="247">
        <f t="shared" si="49"/>
        <v>0</v>
      </c>
      <c r="AI276" s="250"/>
      <c r="AK276" s="240"/>
    </row>
    <row r="277" spans="1:37" x14ac:dyDescent="0.2">
      <c r="A277" s="248"/>
      <c r="B277" s="234"/>
      <c r="C277" s="235"/>
      <c r="D277" s="235"/>
      <c r="E277" s="235"/>
      <c r="F277" s="236"/>
      <c r="G277" s="239"/>
      <c r="H277" s="248"/>
      <c r="I277" s="234"/>
      <c r="J277" s="235"/>
      <c r="K277" s="235"/>
      <c r="L277" s="235"/>
      <c r="M277" s="236"/>
      <c r="N277" s="239"/>
      <c r="O277" s="514"/>
      <c r="P277" s="234" t="s">
        <v>228</v>
      </c>
      <c r="Q277" s="235"/>
      <c r="R277" s="235"/>
      <c r="S277" s="235"/>
      <c r="T277" s="236">
        <f t="shared" si="53"/>
        <v>0</v>
      </c>
      <c r="U277" s="239"/>
      <c r="V277" s="520"/>
      <c r="W277" s="234" t="s">
        <v>228</v>
      </c>
      <c r="X277" s="235"/>
      <c r="Y277" s="235"/>
      <c r="Z277" s="235"/>
      <c r="AA277" s="247">
        <f t="shared" si="48"/>
        <v>0</v>
      </c>
      <c r="AB277" s="250"/>
      <c r="AC277" s="520"/>
      <c r="AD277" s="234" t="s">
        <v>228</v>
      </c>
      <c r="AE277" s="235">
        <f t="shared" si="52"/>
        <v>0</v>
      </c>
      <c r="AF277" s="235">
        <f t="shared" si="46"/>
        <v>0</v>
      </c>
      <c r="AG277" s="235">
        <f t="shared" si="51"/>
        <v>0</v>
      </c>
      <c r="AH277" s="247">
        <f t="shared" si="49"/>
        <v>0</v>
      </c>
      <c r="AI277" s="250"/>
      <c r="AK277" s="240"/>
    </row>
    <row r="278" spans="1:37" x14ac:dyDescent="0.2">
      <c r="A278" s="248"/>
      <c r="B278" s="234"/>
      <c r="C278" s="235"/>
      <c r="D278" s="235"/>
      <c r="E278" s="235"/>
      <c r="F278" s="236"/>
      <c r="G278" s="239"/>
      <c r="H278" s="248"/>
      <c r="I278" s="234"/>
      <c r="J278" s="235"/>
      <c r="K278" s="235"/>
      <c r="L278" s="235"/>
      <c r="M278" s="236"/>
      <c r="N278" s="239"/>
      <c r="O278" s="514"/>
      <c r="P278" s="234" t="s">
        <v>229</v>
      </c>
      <c r="Q278" s="235"/>
      <c r="R278" s="235"/>
      <c r="S278" s="235"/>
      <c r="T278" s="236">
        <f t="shared" si="53"/>
        <v>0</v>
      </c>
      <c r="U278" s="239"/>
      <c r="V278" s="520"/>
      <c r="W278" s="234" t="s">
        <v>229</v>
      </c>
      <c r="X278" s="235"/>
      <c r="Y278" s="235"/>
      <c r="Z278" s="235"/>
      <c r="AA278" s="247">
        <f t="shared" si="48"/>
        <v>0</v>
      </c>
      <c r="AB278" s="250"/>
      <c r="AC278" s="520"/>
      <c r="AD278" s="234" t="s">
        <v>229</v>
      </c>
      <c r="AE278" s="235">
        <f t="shared" si="52"/>
        <v>0</v>
      </c>
      <c r="AF278" s="235">
        <f t="shared" si="46"/>
        <v>0</v>
      </c>
      <c r="AG278" s="235">
        <f t="shared" si="51"/>
        <v>0</v>
      </c>
      <c r="AH278" s="247">
        <f t="shared" si="49"/>
        <v>0</v>
      </c>
      <c r="AI278" s="250"/>
      <c r="AK278" s="240"/>
    </row>
    <row r="279" spans="1:37" x14ac:dyDescent="0.2">
      <c r="A279" s="248"/>
      <c r="B279" s="234"/>
      <c r="C279" s="235"/>
      <c r="D279" s="235"/>
      <c r="E279" s="235"/>
      <c r="F279" s="236"/>
      <c r="G279" s="239"/>
      <c r="H279" s="248"/>
      <c r="I279" s="234"/>
      <c r="J279" s="235"/>
      <c r="K279" s="235"/>
      <c r="L279" s="235"/>
      <c r="M279" s="236"/>
      <c r="N279" s="239"/>
      <c r="O279" s="514"/>
      <c r="P279" s="234" t="s">
        <v>230</v>
      </c>
      <c r="Q279" s="235"/>
      <c r="R279" s="235"/>
      <c r="S279" s="235"/>
      <c r="T279" s="236">
        <f t="shared" si="53"/>
        <v>0</v>
      </c>
      <c r="U279" s="239"/>
      <c r="V279" s="520"/>
      <c r="W279" s="234" t="s">
        <v>230</v>
      </c>
      <c r="X279" s="235"/>
      <c r="Y279" s="235"/>
      <c r="Z279" s="235"/>
      <c r="AA279" s="247">
        <f t="shared" si="48"/>
        <v>0</v>
      </c>
      <c r="AB279" s="250"/>
      <c r="AC279" s="520"/>
      <c r="AD279" s="234" t="s">
        <v>230</v>
      </c>
      <c r="AE279" s="235">
        <f t="shared" si="52"/>
        <v>0</v>
      </c>
      <c r="AF279" s="235">
        <f t="shared" si="46"/>
        <v>0</v>
      </c>
      <c r="AG279" s="235">
        <f t="shared" si="51"/>
        <v>0</v>
      </c>
      <c r="AH279" s="247">
        <f t="shared" si="49"/>
        <v>0</v>
      </c>
      <c r="AI279" s="250"/>
      <c r="AK279" s="240"/>
    </row>
    <row r="280" spans="1:37" x14ac:dyDescent="0.2">
      <c r="A280" s="248"/>
      <c r="B280" s="234"/>
      <c r="C280" s="235"/>
      <c r="D280" s="235"/>
      <c r="E280" s="235"/>
      <c r="F280" s="236"/>
      <c r="G280" s="239"/>
      <c r="H280" s="248"/>
      <c r="I280" s="234"/>
      <c r="J280" s="235"/>
      <c r="K280" s="235"/>
      <c r="L280" s="235"/>
      <c r="M280" s="236"/>
      <c r="N280" s="239"/>
      <c r="O280" s="514"/>
      <c r="P280" s="234" t="s">
        <v>231</v>
      </c>
      <c r="Q280" s="235"/>
      <c r="R280" s="235"/>
      <c r="S280" s="235"/>
      <c r="T280" s="236">
        <f t="shared" si="53"/>
        <v>0</v>
      </c>
      <c r="U280" s="239"/>
      <c r="V280" s="520"/>
      <c r="W280" s="234" t="s">
        <v>231</v>
      </c>
      <c r="X280" s="235"/>
      <c r="Y280" s="235"/>
      <c r="Z280" s="235"/>
      <c r="AA280" s="247">
        <f t="shared" si="48"/>
        <v>0</v>
      </c>
      <c r="AB280" s="250"/>
      <c r="AC280" s="520"/>
      <c r="AD280" s="234" t="s">
        <v>231</v>
      </c>
      <c r="AE280" s="235">
        <f t="shared" si="52"/>
        <v>0</v>
      </c>
      <c r="AF280" s="235">
        <f t="shared" si="46"/>
        <v>0</v>
      </c>
      <c r="AG280" s="235">
        <f t="shared" si="51"/>
        <v>0</v>
      </c>
      <c r="AH280" s="247">
        <f t="shared" si="49"/>
        <v>0</v>
      </c>
      <c r="AI280" s="250"/>
      <c r="AK280" s="240"/>
    </row>
    <row r="281" spans="1:37" x14ac:dyDescent="0.2">
      <c r="A281" s="248"/>
      <c r="B281" s="234"/>
      <c r="C281" s="235"/>
      <c r="D281" s="235"/>
      <c r="E281" s="235"/>
      <c r="F281" s="236"/>
      <c r="G281" s="239"/>
      <c r="H281" s="248"/>
      <c r="I281" s="234"/>
      <c r="J281" s="235"/>
      <c r="K281" s="235"/>
      <c r="L281" s="235"/>
      <c r="M281" s="236"/>
      <c r="N281" s="239"/>
      <c r="O281" s="514"/>
      <c r="P281" s="234" t="s">
        <v>232</v>
      </c>
      <c r="Q281" s="235"/>
      <c r="R281" s="235"/>
      <c r="S281" s="235"/>
      <c r="T281" s="236">
        <f t="shared" si="53"/>
        <v>0</v>
      </c>
      <c r="U281" s="239"/>
      <c r="V281" s="520"/>
      <c r="W281" s="234" t="s">
        <v>232</v>
      </c>
      <c r="X281" s="235"/>
      <c r="Y281" s="235"/>
      <c r="Z281" s="235"/>
      <c r="AA281" s="247">
        <f t="shared" si="48"/>
        <v>0</v>
      </c>
      <c r="AB281" s="250"/>
      <c r="AC281" s="520"/>
      <c r="AD281" s="234" t="s">
        <v>232</v>
      </c>
      <c r="AE281" s="235">
        <f t="shared" si="52"/>
        <v>0</v>
      </c>
      <c r="AF281" s="235">
        <f t="shared" si="46"/>
        <v>0</v>
      </c>
      <c r="AG281" s="235">
        <f t="shared" si="51"/>
        <v>0</v>
      </c>
      <c r="AH281" s="247">
        <f t="shared" si="49"/>
        <v>0</v>
      </c>
      <c r="AI281" s="250"/>
      <c r="AK281" s="240"/>
    </row>
    <row r="282" spans="1:37" x14ac:dyDescent="0.2">
      <c r="A282" s="248"/>
      <c r="B282" s="234"/>
      <c r="C282" s="235"/>
      <c r="D282" s="235"/>
      <c r="E282" s="235"/>
      <c r="F282" s="236"/>
      <c r="G282" s="239"/>
      <c r="H282" s="248"/>
      <c r="I282" s="234"/>
      <c r="J282" s="235"/>
      <c r="K282" s="235"/>
      <c r="L282" s="235"/>
      <c r="M282" s="236"/>
      <c r="N282" s="239"/>
      <c r="O282" s="514"/>
      <c r="P282" s="234" t="s">
        <v>233</v>
      </c>
      <c r="Q282" s="235"/>
      <c r="R282" s="235"/>
      <c r="S282" s="235"/>
      <c r="T282" s="236">
        <f t="shared" si="53"/>
        <v>0</v>
      </c>
      <c r="U282" s="239"/>
      <c r="V282" s="520"/>
      <c r="W282" s="234" t="s">
        <v>233</v>
      </c>
      <c r="X282" s="235"/>
      <c r="Y282" s="235"/>
      <c r="Z282" s="235"/>
      <c r="AA282" s="247">
        <f t="shared" si="48"/>
        <v>0</v>
      </c>
      <c r="AB282" s="250"/>
      <c r="AC282" s="520"/>
      <c r="AD282" s="234" t="s">
        <v>233</v>
      </c>
      <c r="AE282" s="235">
        <f t="shared" si="52"/>
        <v>0</v>
      </c>
      <c r="AF282" s="235">
        <f t="shared" si="46"/>
        <v>0</v>
      </c>
      <c r="AG282" s="235">
        <f t="shared" si="51"/>
        <v>0</v>
      </c>
      <c r="AH282" s="247">
        <f t="shared" si="49"/>
        <v>0</v>
      </c>
      <c r="AI282" s="250"/>
      <c r="AK282" s="240"/>
    </row>
    <row r="283" spans="1:37" x14ac:dyDescent="0.2">
      <c r="A283" s="248"/>
      <c r="B283" s="234"/>
      <c r="C283" s="235"/>
      <c r="D283" s="235"/>
      <c r="E283" s="235"/>
      <c r="F283" s="236"/>
      <c r="G283" s="239"/>
      <c r="H283" s="248"/>
      <c r="I283" s="234"/>
      <c r="J283" s="235"/>
      <c r="K283" s="235"/>
      <c r="L283" s="235"/>
      <c r="M283" s="236"/>
      <c r="N283" s="239"/>
      <c r="O283" s="514"/>
      <c r="P283" s="234" t="s">
        <v>234</v>
      </c>
      <c r="Q283" s="235"/>
      <c r="R283" s="235"/>
      <c r="S283" s="235"/>
      <c r="T283" s="236">
        <f t="shared" si="53"/>
        <v>0</v>
      </c>
      <c r="U283" s="239"/>
      <c r="V283" s="520"/>
      <c r="W283" s="234" t="s">
        <v>234</v>
      </c>
      <c r="X283" s="235"/>
      <c r="Y283" s="235"/>
      <c r="Z283" s="235"/>
      <c r="AA283" s="247">
        <f t="shared" si="48"/>
        <v>0</v>
      </c>
      <c r="AB283" s="250"/>
      <c r="AC283" s="520"/>
      <c r="AD283" s="234" t="s">
        <v>234</v>
      </c>
      <c r="AE283" s="235">
        <f t="shared" si="52"/>
        <v>0</v>
      </c>
      <c r="AF283" s="235">
        <f t="shared" ref="AF283:AF309" si="54">AE283*$Y$7/12</f>
        <v>0</v>
      </c>
      <c r="AG283" s="235">
        <f t="shared" si="51"/>
        <v>0</v>
      </c>
      <c r="AH283" s="247">
        <f t="shared" si="49"/>
        <v>0</v>
      </c>
      <c r="AI283" s="250"/>
      <c r="AK283" s="240"/>
    </row>
    <row r="284" spans="1:37" x14ac:dyDescent="0.2">
      <c r="A284" s="248"/>
      <c r="B284" s="234"/>
      <c r="C284" s="235"/>
      <c r="D284" s="235"/>
      <c r="E284" s="235"/>
      <c r="F284" s="236"/>
      <c r="G284" s="239"/>
      <c r="H284" s="248"/>
      <c r="I284" s="234"/>
      <c r="J284" s="235"/>
      <c r="K284" s="235"/>
      <c r="L284" s="235"/>
      <c r="M284" s="236"/>
      <c r="N284" s="239"/>
      <c r="O284" s="514"/>
      <c r="P284" s="234" t="s">
        <v>235</v>
      </c>
      <c r="Q284" s="235"/>
      <c r="R284" s="235"/>
      <c r="S284" s="235"/>
      <c r="T284" s="236">
        <f t="shared" si="53"/>
        <v>0</v>
      </c>
      <c r="U284" s="239"/>
      <c r="V284" s="520"/>
      <c r="W284" s="234" t="s">
        <v>235</v>
      </c>
      <c r="X284" s="235"/>
      <c r="Y284" s="235"/>
      <c r="Z284" s="235"/>
      <c r="AA284" s="247">
        <f t="shared" si="48"/>
        <v>0</v>
      </c>
      <c r="AB284" s="250"/>
      <c r="AC284" s="520"/>
      <c r="AD284" s="234" t="s">
        <v>235</v>
      </c>
      <c r="AE284" s="235">
        <f t="shared" si="52"/>
        <v>0</v>
      </c>
      <c r="AF284" s="235">
        <f t="shared" si="54"/>
        <v>0</v>
      </c>
      <c r="AG284" s="235">
        <f t="shared" si="51"/>
        <v>0</v>
      </c>
      <c r="AH284" s="247">
        <f t="shared" si="49"/>
        <v>0</v>
      </c>
      <c r="AI284" s="250"/>
      <c r="AK284" s="240"/>
    </row>
    <row r="285" spans="1:37" x14ac:dyDescent="0.2">
      <c r="A285" s="248"/>
      <c r="B285" s="234"/>
      <c r="C285" s="235"/>
      <c r="D285" s="235"/>
      <c r="E285" s="235"/>
      <c r="F285" s="236"/>
      <c r="G285" s="239"/>
      <c r="H285" s="248"/>
      <c r="I285" s="234"/>
      <c r="J285" s="235"/>
      <c r="K285" s="235"/>
      <c r="L285" s="235"/>
      <c r="M285" s="236"/>
      <c r="N285" s="239"/>
      <c r="O285" s="515"/>
      <c r="P285" s="234" t="s">
        <v>236</v>
      </c>
      <c r="Q285" s="235"/>
      <c r="R285" s="235"/>
      <c r="S285" s="235"/>
      <c r="T285" s="236">
        <f t="shared" si="53"/>
        <v>0</v>
      </c>
      <c r="U285" s="239"/>
      <c r="V285" s="521"/>
      <c r="W285" s="234" t="s">
        <v>236</v>
      </c>
      <c r="X285" s="235"/>
      <c r="Y285" s="235"/>
      <c r="Z285" s="235"/>
      <c r="AA285" s="247">
        <f t="shared" si="48"/>
        <v>0</v>
      </c>
      <c r="AB285" s="251">
        <f>SUM(Y274:Y285)</f>
        <v>0</v>
      </c>
      <c r="AC285" s="521"/>
      <c r="AD285" s="234" t="s">
        <v>236</v>
      </c>
      <c r="AE285" s="235">
        <f t="shared" si="52"/>
        <v>0</v>
      </c>
      <c r="AF285" s="235">
        <f t="shared" si="54"/>
        <v>0</v>
      </c>
      <c r="AG285" s="235">
        <f t="shared" si="51"/>
        <v>0</v>
      </c>
      <c r="AH285" s="247">
        <f t="shared" si="49"/>
        <v>0</v>
      </c>
      <c r="AI285" s="251">
        <f>SUM(AF274:AF285)</f>
        <v>0</v>
      </c>
      <c r="AJ285" s="208">
        <f>V274</f>
        <v>2043</v>
      </c>
      <c r="AK285" s="240">
        <f>G285+N285+U285+AB285+AI285</f>
        <v>0</v>
      </c>
    </row>
    <row r="286" spans="1:37" x14ac:dyDescent="0.2">
      <c r="A286" s="248"/>
      <c r="B286" s="234"/>
      <c r="C286" s="235"/>
      <c r="D286" s="235"/>
      <c r="E286" s="235"/>
      <c r="F286" s="236"/>
      <c r="G286" s="239"/>
      <c r="H286" s="248"/>
      <c r="I286" s="234"/>
      <c r="J286" s="235"/>
      <c r="K286" s="235"/>
      <c r="L286" s="235"/>
      <c r="M286" s="236"/>
      <c r="N286" s="239"/>
      <c r="O286" s="253"/>
      <c r="P286" s="234"/>
      <c r="Q286" s="235"/>
      <c r="R286" s="235"/>
      <c r="S286" s="235"/>
      <c r="T286" s="236"/>
      <c r="U286" s="239"/>
      <c r="V286" s="254"/>
      <c r="W286" s="234"/>
      <c r="X286" s="235"/>
      <c r="Y286" s="235"/>
      <c r="Z286" s="235"/>
      <c r="AA286" s="247"/>
      <c r="AB286" s="251"/>
      <c r="AC286" s="519">
        <v>2044</v>
      </c>
      <c r="AD286" s="234" t="s">
        <v>225</v>
      </c>
      <c r="AE286" s="235">
        <f t="shared" si="52"/>
        <v>0</v>
      </c>
      <c r="AF286" s="235">
        <f t="shared" si="54"/>
        <v>0</v>
      </c>
      <c r="AG286" s="235">
        <f t="shared" si="51"/>
        <v>0</v>
      </c>
      <c r="AH286" s="247">
        <f t="shared" si="49"/>
        <v>0</v>
      </c>
      <c r="AI286" s="251"/>
      <c r="AK286" s="240"/>
    </row>
    <row r="287" spans="1:37" x14ac:dyDescent="0.2">
      <c r="A287" s="248"/>
      <c r="B287" s="234"/>
      <c r="C287" s="235"/>
      <c r="D287" s="235"/>
      <c r="E287" s="235"/>
      <c r="F287" s="236"/>
      <c r="G287" s="239"/>
      <c r="H287" s="248"/>
      <c r="I287" s="234"/>
      <c r="J287" s="235"/>
      <c r="K287" s="235"/>
      <c r="L287" s="235"/>
      <c r="M287" s="236"/>
      <c r="N287" s="239"/>
      <c r="O287" s="253"/>
      <c r="P287" s="234"/>
      <c r="Q287" s="235"/>
      <c r="R287" s="235"/>
      <c r="S287" s="235"/>
      <c r="T287" s="236"/>
      <c r="U287" s="239"/>
      <c r="V287" s="254"/>
      <c r="W287" s="234"/>
      <c r="X287" s="235"/>
      <c r="Y287" s="235"/>
      <c r="Z287" s="235"/>
      <c r="AA287" s="247"/>
      <c r="AB287" s="251"/>
      <c r="AC287" s="520"/>
      <c r="AD287" s="234" t="s">
        <v>226</v>
      </c>
      <c r="AE287" s="235">
        <f t="shared" si="52"/>
        <v>0</v>
      </c>
      <c r="AF287" s="235">
        <f t="shared" si="54"/>
        <v>0</v>
      </c>
      <c r="AG287" s="235">
        <f t="shared" si="51"/>
        <v>0</v>
      </c>
      <c r="AH287" s="247">
        <f t="shared" si="49"/>
        <v>0</v>
      </c>
      <c r="AI287" s="251"/>
      <c r="AK287" s="240"/>
    </row>
    <row r="288" spans="1:37" x14ac:dyDescent="0.2">
      <c r="A288" s="248"/>
      <c r="B288" s="234"/>
      <c r="C288" s="235"/>
      <c r="D288" s="235"/>
      <c r="E288" s="235"/>
      <c r="F288" s="236"/>
      <c r="G288" s="239"/>
      <c r="H288" s="248"/>
      <c r="I288" s="234"/>
      <c r="J288" s="235"/>
      <c r="K288" s="235"/>
      <c r="L288" s="235"/>
      <c r="M288" s="236"/>
      <c r="N288" s="239"/>
      <c r="O288" s="253"/>
      <c r="P288" s="234"/>
      <c r="Q288" s="235"/>
      <c r="R288" s="235"/>
      <c r="S288" s="235"/>
      <c r="T288" s="236"/>
      <c r="U288" s="239"/>
      <c r="V288" s="254"/>
      <c r="W288" s="234"/>
      <c r="X288" s="235"/>
      <c r="Y288" s="235"/>
      <c r="Z288" s="235"/>
      <c r="AA288" s="247"/>
      <c r="AB288" s="251"/>
      <c r="AC288" s="520"/>
      <c r="AD288" s="234" t="s">
        <v>227</v>
      </c>
      <c r="AE288" s="235">
        <f t="shared" si="52"/>
        <v>0</v>
      </c>
      <c r="AF288" s="235">
        <f t="shared" si="54"/>
        <v>0</v>
      </c>
      <c r="AG288" s="235">
        <f t="shared" si="51"/>
        <v>0</v>
      </c>
      <c r="AH288" s="247">
        <f t="shared" si="49"/>
        <v>0</v>
      </c>
      <c r="AI288" s="251"/>
      <c r="AK288" s="240"/>
    </row>
    <row r="289" spans="1:37" x14ac:dyDescent="0.2">
      <c r="A289" s="248"/>
      <c r="B289" s="234"/>
      <c r="C289" s="235"/>
      <c r="D289" s="235"/>
      <c r="E289" s="235"/>
      <c r="F289" s="236"/>
      <c r="G289" s="239"/>
      <c r="H289" s="248"/>
      <c r="I289" s="234"/>
      <c r="J289" s="235"/>
      <c r="K289" s="235"/>
      <c r="L289" s="235"/>
      <c r="M289" s="236"/>
      <c r="N289" s="239"/>
      <c r="O289" s="253"/>
      <c r="P289" s="234"/>
      <c r="Q289" s="235"/>
      <c r="R289" s="235"/>
      <c r="S289" s="235"/>
      <c r="T289" s="236"/>
      <c r="U289" s="239"/>
      <c r="V289" s="254"/>
      <c r="W289" s="234"/>
      <c r="X289" s="235"/>
      <c r="Y289" s="235"/>
      <c r="Z289" s="235"/>
      <c r="AA289" s="247"/>
      <c r="AB289" s="251"/>
      <c r="AC289" s="520"/>
      <c r="AD289" s="234" t="s">
        <v>228</v>
      </c>
      <c r="AE289" s="235">
        <f t="shared" si="52"/>
        <v>0</v>
      </c>
      <c r="AF289" s="235">
        <f t="shared" si="54"/>
        <v>0</v>
      </c>
      <c r="AG289" s="235">
        <f t="shared" si="51"/>
        <v>0</v>
      </c>
      <c r="AH289" s="247">
        <f t="shared" si="49"/>
        <v>0</v>
      </c>
      <c r="AI289" s="251"/>
      <c r="AK289" s="240"/>
    </row>
    <row r="290" spans="1:37" x14ac:dyDescent="0.2">
      <c r="A290" s="248"/>
      <c r="B290" s="234"/>
      <c r="C290" s="235"/>
      <c r="D290" s="235"/>
      <c r="E290" s="235"/>
      <c r="F290" s="236"/>
      <c r="G290" s="239"/>
      <c r="H290" s="248"/>
      <c r="I290" s="234"/>
      <c r="J290" s="235"/>
      <c r="K290" s="235"/>
      <c r="L290" s="235"/>
      <c r="M290" s="236"/>
      <c r="N290" s="239"/>
      <c r="O290" s="253"/>
      <c r="P290" s="234"/>
      <c r="Q290" s="235"/>
      <c r="R290" s="235"/>
      <c r="S290" s="235"/>
      <c r="T290" s="236"/>
      <c r="U290" s="239"/>
      <c r="V290" s="254"/>
      <c r="W290" s="234"/>
      <c r="X290" s="235"/>
      <c r="Y290" s="235"/>
      <c r="Z290" s="235"/>
      <c r="AA290" s="247"/>
      <c r="AB290" s="251"/>
      <c r="AC290" s="520"/>
      <c r="AD290" s="234" t="s">
        <v>229</v>
      </c>
      <c r="AE290" s="235">
        <f t="shared" si="52"/>
        <v>0</v>
      </c>
      <c r="AF290" s="235">
        <f t="shared" si="54"/>
        <v>0</v>
      </c>
      <c r="AG290" s="235">
        <f t="shared" si="51"/>
        <v>0</v>
      </c>
      <c r="AH290" s="247">
        <f t="shared" si="49"/>
        <v>0</v>
      </c>
      <c r="AI290" s="251"/>
      <c r="AK290" s="240"/>
    </row>
    <row r="291" spans="1:37" x14ac:dyDescent="0.2">
      <c r="A291" s="248"/>
      <c r="B291" s="234"/>
      <c r="C291" s="235"/>
      <c r="D291" s="235"/>
      <c r="E291" s="235"/>
      <c r="F291" s="236"/>
      <c r="G291" s="239"/>
      <c r="H291" s="248"/>
      <c r="I291" s="234"/>
      <c r="J291" s="235"/>
      <c r="K291" s="235"/>
      <c r="L291" s="235"/>
      <c r="M291" s="236"/>
      <c r="N291" s="239"/>
      <c r="O291" s="253"/>
      <c r="P291" s="234"/>
      <c r="Q291" s="235"/>
      <c r="R291" s="235"/>
      <c r="S291" s="235"/>
      <c r="T291" s="236"/>
      <c r="U291" s="239"/>
      <c r="V291" s="254"/>
      <c r="W291" s="234"/>
      <c r="X291" s="235"/>
      <c r="Y291" s="235"/>
      <c r="Z291" s="235"/>
      <c r="AA291" s="247"/>
      <c r="AB291" s="251"/>
      <c r="AC291" s="520"/>
      <c r="AD291" s="234" t="s">
        <v>230</v>
      </c>
      <c r="AE291" s="235">
        <f t="shared" si="52"/>
        <v>0</v>
      </c>
      <c r="AF291" s="235">
        <f t="shared" si="54"/>
        <v>0</v>
      </c>
      <c r="AG291" s="235">
        <f t="shared" si="51"/>
        <v>0</v>
      </c>
      <c r="AH291" s="247">
        <f t="shared" si="49"/>
        <v>0</v>
      </c>
      <c r="AI291" s="251"/>
      <c r="AK291" s="240"/>
    </row>
    <row r="292" spans="1:37" x14ac:dyDescent="0.2">
      <c r="A292" s="248"/>
      <c r="B292" s="234"/>
      <c r="C292" s="235"/>
      <c r="D292" s="235"/>
      <c r="E292" s="235"/>
      <c r="F292" s="236"/>
      <c r="G292" s="239"/>
      <c r="H292" s="248"/>
      <c r="I292" s="234"/>
      <c r="J292" s="235"/>
      <c r="K292" s="235"/>
      <c r="L292" s="235"/>
      <c r="M292" s="236"/>
      <c r="N292" s="239"/>
      <c r="O292" s="253"/>
      <c r="P292" s="234"/>
      <c r="Q292" s="235"/>
      <c r="R292" s="235"/>
      <c r="S292" s="235"/>
      <c r="T292" s="236"/>
      <c r="U292" s="239"/>
      <c r="V292" s="254"/>
      <c r="W292" s="234"/>
      <c r="X292" s="235"/>
      <c r="Y292" s="235"/>
      <c r="Z292" s="235"/>
      <c r="AA292" s="247"/>
      <c r="AB292" s="251"/>
      <c r="AC292" s="520"/>
      <c r="AD292" s="234" t="s">
        <v>231</v>
      </c>
      <c r="AE292" s="235">
        <f t="shared" si="52"/>
        <v>0</v>
      </c>
      <c r="AF292" s="235">
        <f t="shared" si="54"/>
        <v>0</v>
      </c>
      <c r="AG292" s="235">
        <f t="shared" si="51"/>
        <v>0</v>
      </c>
      <c r="AH292" s="247">
        <f t="shared" ref="AH292:AH325" si="55">AF292+AG292</f>
        <v>0</v>
      </c>
      <c r="AI292" s="251"/>
      <c r="AK292" s="240"/>
    </row>
    <row r="293" spans="1:37" x14ac:dyDescent="0.2">
      <c r="A293" s="248"/>
      <c r="B293" s="234"/>
      <c r="C293" s="235"/>
      <c r="D293" s="235"/>
      <c r="E293" s="235"/>
      <c r="F293" s="236"/>
      <c r="G293" s="239"/>
      <c r="H293" s="248"/>
      <c r="I293" s="234"/>
      <c r="J293" s="235"/>
      <c r="K293" s="235"/>
      <c r="L293" s="235"/>
      <c r="M293" s="236"/>
      <c r="N293" s="239"/>
      <c r="O293" s="253"/>
      <c r="P293" s="234"/>
      <c r="Q293" s="235"/>
      <c r="R293" s="235"/>
      <c r="S293" s="235"/>
      <c r="T293" s="236"/>
      <c r="U293" s="239"/>
      <c r="V293" s="254"/>
      <c r="W293" s="234"/>
      <c r="X293" s="235"/>
      <c r="Y293" s="235"/>
      <c r="Z293" s="235"/>
      <c r="AA293" s="247"/>
      <c r="AB293" s="251"/>
      <c r="AC293" s="520"/>
      <c r="AD293" s="234" t="s">
        <v>232</v>
      </c>
      <c r="AE293" s="235">
        <f t="shared" si="52"/>
        <v>0</v>
      </c>
      <c r="AF293" s="235">
        <f t="shared" si="54"/>
        <v>0</v>
      </c>
      <c r="AG293" s="235">
        <f t="shared" si="51"/>
        <v>0</v>
      </c>
      <c r="AH293" s="247">
        <f t="shared" si="55"/>
        <v>0</v>
      </c>
      <c r="AI293" s="251"/>
      <c r="AK293" s="240"/>
    </row>
    <row r="294" spans="1:37" x14ac:dyDescent="0.2">
      <c r="A294" s="248"/>
      <c r="B294" s="234"/>
      <c r="C294" s="235"/>
      <c r="D294" s="235"/>
      <c r="E294" s="235"/>
      <c r="F294" s="236"/>
      <c r="G294" s="239"/>
      <c r="H294" s="248"/>
      <c r="I294" s="234"/>
      <c r="J294" s="235"/>
      <c r="K294" s="235"/>
      <c r="L294" s="235"/>
      <c r="M294" s="236"/>
      <c r="N294" s="239"/>
      <c r="O294" s="253"/>
      <c r="P294" s="234"/>
      <c r="Q294" s="235"/>
      <c r="R294" s="235"/>
      <c r="S294" s="235"/>
      <c r="T294" s="236"/>
      <c r="U294" s="239"/>
      <c r="V294" s="254"/>
      <c r="W294" s="234"/>
      <c r="X294" s="235"/>
      <c r="Y294" s="235"/>
      <c r="Z294" s="235"/>
      <c r="AA294" s="247"/>
      <c r="AB294" s="251"/>
      <c r="AC294" s="520"/>
      <c r="AD294" s="234" t="s">
        <v>233</v>
      </c>
      <c r="AE294" s="235">
        <f t="shared" si="52"/>
        <v>0</v>
      </c>
      <c r="AF294" s="235">
        <f t="shared" si="54"/>
        <v>0</v>
      </c>
      <c r="AG294" s="235">
        <f t="shared" si="51"/>
        <v>0</v>
      </c>
      <c r="AH294" s="247">
        <f t="shared" si="55"/>
        <v>0</v>
      </c>
      <c r="AI294" s="251"/>
      <c r="AK294" s="240"/>
    </row>
    <row r="295" spans="1:37" x14ac:dyDescent="0.2">
      <c r="A295" s="248"/>
      <c r="B295" s="234"/>
      <c r="C295" s="235"/>
      <c r="D295" s="235"/>
      <c r="E295" s="235"/>
      <c r="F295" s="236"/>
      <c r="G295" s="239"/>
      <c r="H295" s="248"/>
      <c r="I295" s="234"/>
      <c r="J295" s="235"/>
      <c r="K295" s="235"/>
      <c r="L295" s="235"/>
      <c r="M295" s="236"/>
      <c r="N295" s="239"/>
      <c r="O295" s="253"/>
      <c r="P295" s="234"/>
      <c r="Q295" s="235"/>
      <c r="R295" s="235"/>
      <c r="S295" s="235"/>
      <c r="T295" s="236"/>
      <c r="U295" s="239"/>
      <c r="V295" s="254"/>
      <c r="W295" s="234"/>
      <c r="X295" s="235"/>
      <c r="Y295" s="235"/>
      <c r="Z295" s="235"/>
      <c r="AA295" s="247"/>
      <c r="AB295" s="251"/>
      <c r="AC295" s="520"/>
      <c r="AD295" s="234" t="s">
        <v>234</v>
      </c>
      <c r="AE295" s="235">
        <f t="shared" si="52"/>
        <v>0</v>
      </c>
      <c r="AF295" s="235">
        <f t="shared" si="54"/>
        <v>0</v>
      </c>
      <c r="AG295" s="235">
        <f t="shared" si="51"/>
        <v>0</v>
      </c>
      <c r="AH295" s="247">
        <f t="shared" si="55"/>
        <v>0</v>
      </c>
      <c r="AI295" s="251"/>
      <c r="AK295" s="240"/>
    </row>
    <row r="296" spans="1:37" x14ac:dyDescent="0.2">
      <c r="A296" s="248"/>
      <c r="B296" s="234"/>
      <c r="C296" s="235"/>
      <c r="D296" s="235"/>
      <c r="E296" s="235"/>
      <c r="F296" s="236"/>
      <c r="G296" s="239"/>
      <c r="H296" s="248"/>
      <c r="I296" s="234"/>
      <c r="J296" s="235"/>
      <c r="K296" s="235"/>
      <c r="L296" s="235"/>
      <c r="M296" s="236"/>
      <c r="N296" s="239"/>
      <c r="O296" s="253"/>
      <c r="P296" s="234"/>
      <c r="Q296" s="235"/>
      <c r="R296" s="235"/>
      <c r="S296" s="235"/>
      <c r="T296" s="236"/>
      <c r="U296" s="239"/>
      <c r="V296" s="254"/>
      <c r="W296" s="234"/>
      <c r="X296" s="235"/>
      <c r="Y296" s="235"/>
      <c r="Z296" s="235"/>
      <c r="AA296" s="247"/>
      <c r="AB296" s="251"/>
      <c r="AC296" s="520"/>
      <c r="AD296" s="234" t="s">
        <v>235</v>
      </c>
      <c r="AE296" s="235">
        <f t="shared" si="52"/>
        <v>0</v>
      </c>
      <c r="AF296" s="235">
        <f t="shared" si="54"/>
        <v>0</v>
      </c>
      <c r="AG296" s="235">
        <f t="shared" si="51"/>
        <v>0</v>
      </c>
      <c r="AH296" s="247">
        <f t="shared" si="55"/>
        <v>0</v>
      </c>
      <c r="AI296" s="251"/>
      <c r="AK296" s="240"/>
    </row>
    <row r="297" spans="1:37" x14ac:dyDescent="0.2">
      <c r="A297" s="248"/>
      <c r="B297" s="234"/>
      <c r="C297" s="235"/>
      <c r="D297" s="235"/>
      <c r="E297" s="235"/>
      <c r="F297" s="236"/>
      <c r="G297" s="239"/>
      <c r="H297" s="248"/>
      <c r="I297" s="234"/>
      <c r="J297" s="235"/>
      <c r="K297" s="235"/>
      <c r="L297" s="235"/>
      <c r="M297" s="236"/>
      <c r="N297" s="239"/>
      <c r="O297" s="253"/>
      <c r="P297" s="234"/>
      <c r="Q297" s="235"/>
      <c r="R297" s="235"/>
      <c r="S297" s="235"/>
      <c r="T297" s="236"/>
      <c r="U297" s="239"/>
      <c r="V297" s="254"/>
      <c r="W297" s="234"/>
      <c r="X297" s="235"/>
      <c r="Y297" s="235"/>
      <c r="Z297" s="235"/>
      <c r="AA297" s="247"/>
      <c r="AB297" s="251"/>
      <c r="AC297" s="521"/>
      <c r="AD297" s="234" t="s">
        <v>236</v>
      </c>
      <c r="AE297" s="235">
        <f t="shared" si="52"/>
        <v>0</v>
      </c>
      <c r="AF297" s="235">
        <f t="shared" si="54"/>
        <v>0</v>
      </c>
      <c r="AG297" s="235">
        <f t="shared" si="51"/>
        <v>0</v>
      </c>
      <c r="AH297" s="247">
        <f t="shared" si="55"/>
        <v>0</v>
      </c>
      <c r="AI297" s="251">
        <f>SUM(AF286:AF297)</f>
        <v>0</v>
      </c>
      <c r="AJ297" s="208">
        <f>AC286</f>
        <v>2044</v>
      </c>
      <c r="AK297" s="240">
        <f>G297+N297+U297+AB297+AI297</f>
        <v>0</v>
      </c>
    </row>
    <row r="298" spans="1:37" x14ac:dyDescent="0.2">
      <c r="A298" s="248"/>
      <c r="B298" s="234"/>
      <c r="C298" s="235"/>
      <c r="D298" s="235"/>
      <c r="E298" s="235"/>
      <c r="F298" s="236"/>
      <c r="G298" s="239"/>
      <c r="H298" s="248"/>
      <c r="I298" s="234"/>
      <c r="J298" s="235"/>
      <c r="K298" s="235"/>
      <c r="L298" s="235"/>
      <c r="M298" s="236"/>
      <c r="N298" s="239"/>
      <c r="O298" s="253"/>
      <c r="P298" s="234"/>
      <c r="Q298" s="235"/>
      <c r="R298" s="235"/>
      <c r="S298" s="235"/>
      <c r="T298" s="236"/>
      <c r="U298" s="239"/>
      <c r="V298" s="254"/>
      <c r="W298" s="234"/>
      <c r="X298" s="235"/>
      <c r="Y298" s="235"/>
      <c r="Z298" s="235"/>
      <c r="AA298" s="247"/>
      <c r="AB298" s="251"/>
      <c r="AC298" s="519">
        <v>2045</v>
      </c>
      <c r="AD298" s="234" t="s">
        <v>225</v>
      </c>
      <c r="AE298" s="235">
        <f t="shared" si="52"/>
        <v>0</v>
      </c>
      <c r="AF298" s="235">
        <f t="shared" si="54"/>
        <v>0</v>
      </c>
      <c r="AG298" s="235">
        <f t="shared" si="51"/>
        <v>0</v>
      </c>
      <c r="AH298" s="247">
        <f t="shared" si="55"/>
        <v>0</v>
      </c>
      <c r="AI298" s="251"/>
      <c r="AK298" s="240"/>
    </row>
    <row r="299" spans="1:37" x14ac:dyDescent="0.2">
      <c r="A299" s="248"/>
      <c r="B299" s="234"/>
      <c r="C299" s="235"/>
      <c r="D299" s="235"/>
      <c r="E299" s="235"/>
      <c r="F299" s="236"/>
      <c r="G299" s="239"/>
      <c r="H299" s="248"/>
      <c r="I299" s="234"/>
      <c r="J299" s="235"/>
      <c r="K299" s="235"/>
      <c r="L299" s="235"/>
      <c r="M299" s="236"/>
      <c r="N299" s="239"/>
      <c r="O299" s="253"/>
      <c r="P299" s="234"/>
      <c r="Q299" s="235"/>
      <c r="R299" s="235"/>
      <c r="S299" s="235"/>
      <c r="T299" s="236"/>
      <c r="U299" s="239"/>
      <c r="V299" s="254"/>
      <c r="W299" s="234"/>
      <c r="X299" s="235"/>
      <c r="Y299" s="235"/>
      <c r="Z299" s="235"/>
      <c r="AA299" s="247"/>
      <c r="AB299" s="251"/>
      <c r="AC299" s="520"/>
      <c r="AD299" s="234" t="s">
        <v>226</v>
      </c>
      <c r="AE299" s="235">
        <f t="shared" si="52"/>
        <v>0</v>
      </c>
      <c r="AF299" s="235">
        <f t="shared" si="54"/>
        <v>0</v>
      </c>
      <c r="AG299" s="235">
        <f t="shared" si="51"/>
        <v>0</v>
      </c>
      <c r="AH299" s="247">
        <f t="shared" si="55"/>
        <v>0</v>
      </c>
      <c r="AI299" s="251"/>
      <c r="AK299" s="240"/>
    </row>
    <row r="300" spans="1:37" x14ac:dyDescent="0.2">
      <c r="A300" s="248"/>
      <c r="B300" s="234"/>
      <c r="C300" s="235"/>
      <c r="D300" s="235"/>
      <c r="E300" s="235"/>
      <c r="F300" s="236"/>
      <c r="G300" s="239"/>
      <c r="H300" s="248"/>
      <c r="I300" s="234"/>
      <c r="J300" s="235"/>
      <c r="K300" s="235"/>
      <c r="L300" s="235"/>
      <c r="M300" s="236"/>
      <c r="N300" s="239"/>
      <c r="O300" s="253"/>
      <c r="P300" s="234"/>
      <c r="Q300" s="235"/>
      <c r="R300" s="235"/>
      <c r="S300" s="235"/>
      <c r="T300" s="236"/>
      <c r="U300" s="239"/>
      <c r="V300" s="254"/>
      <c r="W300" s="234"/>
      <c r="X300" s="235"/>
      <c r="Y300" s="235"/>
      <c r="Z300" s="235"/>
      <c r="AA300" s="247"/>
      <c r="AB300" s="251"/>
      <c r="AC300" s="520"/>
      <c r="AD300" s="234" t="s">
        <v>227</v>
      </c>
      <c r="AE300" s="235">
        <f t="shared" si="52"/>
        <v>0</v>
      </c>
      <c r="AF300" s="235">
        <f t="shared" si="54"/>
        <v>0</v>
      </c>
      <c r="AG300" s="235">
        <f t="shared" si="51"/>
        <v>0</v>
      </c>
      <c r="AH300" s="247">
        <f t="shared" si="55"/>
        <v>0</v>
      </c>
      <c r="AI300" s="251"/>
      <c r="AK300" s="240"/>
    </row>
    <row r="301" spans="1:37" x14ac:dyDescent="0.2">
      <c r="A301" s="248"/>
      <c r="B301" s="234"/>
      <c r="C301" s="235"/>
      <c r="D301" s="235"/>
      <c r="E301" s="235"/>
      <c r="F301" s="236"/>
      <c r="G301" s="239"/>
      <c r="H301" s="248"/>
      <c r="I301" s="234"/>
      <c r="J301" s="235"/>
      <c r="K301" s="235"/>
      <c r="L301" s="235"/>
      <c r="M301" s="236"/>
      <c r="N301" s="239"/>
      <c r="O301" s="253"/>
      <c r="P301" s="234"/>
      <c r="Q301" s="235"/>
      <c r="R301" s="235"/>
      <c r="S301" s="235"/>
      <c r="T301" s="236"/>
      <c r="U301" s="239"/>
      <c r="V301" s="254"/>
      <c r="W301" s="234"/>
      <c r="X301" s="235"/>
      <c r="Y301" s="235"/>
      <c r="Z301" s="235"/>
      <c r="AA301" s="247"/>
      <c r="AB301" s="251"/>
      <c r="AC301" s="520"/>
      <c r="AD301" s="234" t="s">
        <v>228</v>
      </c>
      <c r="AE301" s="235">
        <f t="shared" si="52"/>
        <v>0</v>
      </c>
      <c r="AF301" s="235">
        <f t="shared" si="54"/>
        <v>0</v>
      </c>
      <c r="AG301" s="235">
        <f t="shared" si="51"/>
        <v>0</v>
      </c>
      <c r="AH301" s="247">
        <f t="shared" si="55"/>
        <v>0</v>
      </c>
      <c r="AI301" s="251"/>
      <c r="AK301" s="240"/>
    </row>
    <row r="302" spans="1:37" x14ac:dyDescent="0.2">
      <c r="A302" s="248"/>
      <c r="B302" s="234"/>
      <c r="C302" s="235"/>
      <c r="D302" s="235"/>
      <c r="E302" s="235"/>
      <c r="F302" s="236"/>
      <c r="G302" s="239"/>
      <c r="H302" s="248"/>
      <c r="I302" s="234"/>
      <c r="J302" s="235"/>
      <c r="K302" s="235"/>
      <c r="L302" s="235"/>
      <c r="M302" s="236"/>
      <c r="N302" s="239"/>
      <c r="O302" s="253"/>
      <c r="P302" s="234"/>
      <c r="Q302" s="235"/>
      <c r="R302" s="235"/>
      <c r="S302" s="235"/>
      <c r="T302" s="236"/>
      <c r="U302" s="239"/>
      <c r="V302" s="254"/>
      <c r="W302" s="234"/>
      <c r="X302" s="235"/>
      <c r="Y302" s="235"/>
      <c r="Z302" s="235"/>
      <c r="AA302" s="247"/>
      <c r="AB302" s="251"/>
      <c r="AC302" s="520"/>
      <c r="AD302" s="234" t="s">
        <v>229</v>
      </c>
      <c r="AE302" s="235">
        <f t="shared" si="52"/>
        <v>0</v>
      </c>
      <c r="AF302" s="235">
        <f t="shared" si="54"/>
        <v>0</v>
      </c>
      <c r="AG302" s="235">
        <f t="shared" si="51"/>
        <v>0</v>
      </c>
      <c r="AH302" s="247">
        <f t="shared" si="55"/>
        <v>0</v>
      </c>
      <c r="AI302" s="251"/>
      <c r="AK302" s="240"/>
    </row>
    <row r="303" spans="1:37" x14ac:dyDescent="0.2">
      <c r="A303" s="248"/>
      <c r="B303" s="234"/>
      <c r="C303" s="235"/>
      <c r="D303" s="235"/>
      <c r="E303" s="235"/>
      <c r="F303" s="236"/>
      <c r="G303" s="239"/>
      <c r="H303" s="248"/>
      <c r="I303" s="234"/>
      <c r="J303" s="235"/>
      <c r="K303" s="235"/>
      <c r="L303" s="235"/>
      <c r="M303" s="236"/>
      <c r="N303" s="239"/>
      <c r="O303" s="253"/>
      <c r="P303" s="234"/>
      <c r="Q303" s="235"/>
      <c r="R303" s="235"/>
      <c r="S303" s="235"/>
      <c r="T303" s="236"/>
      <c r="U303" s="239"/>
      <c r="V303" s="254"/>
      <c r="W303" s="234"/>
      <c r="X303" s="235"/>
      <c r="Y303" s="235"/>
      <c r="Z303" s="235"/>
      <c r="AA303" s="247"/>
      <c r="AB303" s="251"/>
      <c r="AC303" s="520"/>
      <c r="AD303" s="234" t="s">
        <v>230</v>
      </c>
      <c r="AE303" s="235">
        <f t="shared" si="52"/>
        <v>0</v>
      </c>
      <c r="AF303" s="235">
        <f t="shared" si="54"/>
        <v>0</v>
      </c>
      <c r="AG303" s="235">
        <f t="shared" si="51"/>
        <v>0</v>
      </c>
      <c r="AH303" s="247">
        <f t="shared" si="55"/>
        <v>0</v>
      </c>
      <c r="AI303" s="251"/>
      <c r="AK303" s="240"/>
    </row>
    <row r="304" spans="1:37" x14ac:dyDescent="0.2">
      <c r="A304" s="248"/>
      <c r="B304" s="234"/>
      <c r="C304" s="235"/>
      <c r="D304" s="235"/>
      <c r="E304" s="235"/>
      <c r="F304" s="236"/>
      <c r="G304" s="239"/>
      <c r="H304" s="248"/>
      <c r="I304" s="234"/>
      <c r="J304" s="235"/>
      <c r="K304" s="235"/>
      <c r="L304" s="235"/>
      <c r="M304" s="236"/>
      <c r="N304" s="239"/>
      <c r="O304" s="253"/>
      <c r="P304" s="234"/>
      <c r="Q304" s="235"/>
      <c r="R304" s="235"/>
      <c r="S304" s="235"/>
      <c r="T304" s="236"/>
      <c r="U304" s="239"/>
      <c r="V304" s="254"/>
      <c r="W304" s="234"/>
      <c r="X304" s="235"/>
      <c r="Y304" s="235"/>
      <c r="Z304" s="235"/>
      <c r="AA304" s="247"/>
      <c r="AB304" s="251"/>
      <c r="AC304" s="520"/>
      <c r="AD304" s="234" t="s">
        <v>231</v>
      </c>
      <c r="AE304" s="235">
        <f t="shared" si="52"/>
        <v>0</v>
      </c>
      <c r="AF304" s="235">
        <f t="shared" si="54"/>
        <v>0</v>
      </c>
      <c r="AG304" s="235">
        <f t="shared" si="51"/>
        <v>0</v>
      </c>
      <c r="AH304" s="247">
        <f t="shared" si="55"/>
        <v>0</v>
      </c>
      <c r="AI304" s="251"/>
      <c r="AK304" s="240"/>
    </row>
    <row r="305" spans="1:37" x14ac:dyDescent="0.2">
      <c r="A305" s="248"/>
      <c r="B305" s="234"/>
      <c r="C305" s="235"/>
      <c r="D305" s="235"/>
      <c r="E305" s="235"/>
      <c r="F305" s="236"/>
      <c r="G305" s="239"/>
      <c r="H305" s="248"/>
      <c r="I305" s="234"/>
      <c r="J305" s="235"/>
      <c r="K305" s="235"/>
      <c r="L305" s="235"/>
      <c r="M305" s="236"/>
      <c r="N305" s="239"/>
      <c r="O305" s="253"/>
      <c r="P305" s="234"/>
      <c r="Q305" s="235"/>
      <c r="R305" s="235"/>
      <c r="S305" s="235"/>
      <c r="T305" s="236"/>
      <c r="U305" s="239"/>
      <c r="V305" s="254"/>
      <c r="W305" s="234"/>
      <c r="X305" s="235"/>
      <c r="Y305" s="235"/>
      <c r="Z305" s="235"/>
      <c r="AA305" s="247"/>
      <c r="AB305" s="251"/>
      <c r="AC305" s="520"/>
      <c r="AD305" s="234" t="s">
        <v>232</v>
      </c>
      <c r="AE305" s="235">
        <f t="shared" si="52"/>
        <v>0</v>
      </c>
      <c r="AF305" s="235">
        <f t="shared" si="54"/>
        <v>0</v>
      </c>
      <c r="AG305" s="235">
        <f t="shared" si="51"/>
        <v>0</v>
      </c>
      <c r="AH305" s="247">
        <f t="shared" si="55"/>
        <v>0</v>
      </c>
      <c r="AI305" s="251"/>
      <c r="AK305" s="240"/>
    </row>
    <row r="306" spans="1:37" x14ac:dyDescent="0.2">
      <c r="A306" s="248"/>
      <c r="B306" s="234"/>
      <c r="C306" s="235"/>
      <c r="D306" s="235"/>
      <c r="E306" s="235"/>
      <c r="F306" s="236"/>
      <c r="G306" s="239"/>
      <c r="H306" s="248"/>
      <c r="I306" s="234"/>
      <c r="J306" s="235"/>
      <c r="K306" s="235"/>
      <c r="L306" s="235"/>
      <c r="M306" s="236"/>
      <c r="N306" s="239"/>
      <c r="O306" s="253"/>
      <c r="P306" s="234"/>
      <c r="Q306" s="235"/>
      <c r="R306" s="235"/>
      <c r="S306" s="235"/>
      <c r="T306" s="236"/>
      <c r="U306" s="239"/>
      <c r="V306" s="254"/>
      <c r="W306" s="234"/>
      <c r="X306" s="235"/>
      <c r="Y306" s="235"/>
      <c r="Z306" s="235"/>
      <c r="AA306" s="247"/>
      <c r="AB306" s="251"/>
      <c r="AC306" s="520"/>
      <c r="AD306" s="234" t="s">
        <v>233</v>
      </c>
      <c r="AE306" s="235">
        <f t="shared" si="52"/>
        <v>0</v>
      </c>
      <c r="AF306" s="235">
        <f t="shared" si="54"/>
        <v>0</v>
      </c>
      <c r="AG306" s="235">
        <f t="shared" si="51"/>
        <v>0</v>
      </c>
      <c r="AH306" s="247">
        <f t="shared" si="55"/>
        <v>0</v>
      </c>
      <c r="AI306" s="251"/>
      <c r="AK306" s="240"/>
    </row>
    <row r="307" spans="1:37" x14ac:dyDescent="0.2">
      <c r="A307" s="248"/>
      <c r="B307" s="234"/>
      <c r="C307" s="235"/>
      <c r="D307" s="235"/>
      <c r="E307" s="235"/>
      <c r="F307" s="236"/>
      <c r="G307" s="239"/>
      <c r="H307" s="248"/>
      <c r="I307" s="234"/>
      <c r="J307" s="235"/>
      <c r="K307" s="235"/>
      <c r="L307" s="235"/>
      <c r="M307" s="236"/>
      <c r="N307" s="239"/>
      <c r="O307" s="253"/>
      <c r="P307" s="234"/>
      <c r="Q307" s="235"/>
      <c r="R307" s="235"/>
      <c r="S307" s="235"/>
      <c r="T307" s="236"/>
      <c r="U307" s="239"/>
      <c r="V307" s="254"/>
      <c r="W307" s="234"/>
      <c r="X307" s="235"/>
      <c r="Y307" s="235"/>
      <c r="Z307" s="235"/>
      <c r="AA307" s="247"/>
      <c r="AB307" s="251"/>
      <c r="AC307" s="520"/>
      <c r="AD307" s="234" t="s">
        <v>234</v>
      </c>
      <c r="AE307" s="235">
        <f t="shared" si="52"/>
        <v>0</v>
      </c>
      <c r="AF307" s="235">
        <f t="shared" si="54"/>
        <v>0</v>
      </c>
      <c r="AG307" s="235">
        <f t="shared" si="51"/>
        <v>0</v>
      </c>
      <c r="AH307" s="247">
        <f t="shared" si="55"/>
        <v>0</v>
      </c>
      <c r="AI307" s="251"/>
      <c r="AK307" s="240"/>
    </row>
    <row r="308" spans="1:37" x14ac:dyDescent="0.2">
      <c r="A308" s="248"/>
      <c r="B308" s="234"/>
      <c r="C308" s="235"/>
      <c r="D308" s="235"/>
      <c r="E308" s="235"/>
      <c r="F308" s="236"/>
      <c r="G308" s="239"/>
      <c r="H308" s="248"/>
      <c r="I308" s="234"/>
      <c r="J308" s="235"/>
      <c r="K308" s="235"/>
      <c r="L308" s="235"/>
      <c r="M308" s="236"/>
      <c r="N308" s="239"/>
      <c r="O308" s="253"/>
      <c r="P308" s="234"/>
      <c r="Q308" s="235"/>
      <c r="R308" s="235"/>
      <c r="S308" s="235"/>
      <c r="T308" s="236"/>
      <c r="U308" s="239"/>
      <c r="V308" s="254"/>
      <c r="W308" s="234"/>
      <c r="X308" s="235"/>
      <c r="Y308" s="235"/>
      <c r="Z308" s="235"/>
      <c r="AA308" s="247"/>
      <c r="AB308" s="251"/>
      <c r="AC308" s="520"/>
      <c r="AD308" s="234" t="s">
        <v>235</v>
      </c>
      <c r="AE308" s="235">
        <f t="shared" si="52"/>
        <v>0</v>
      </c>
      <c r="AF308" s="235">
        <f t="shared" si="54"/>
        <v>0</v>
      </c>
      <c r="AG308" s="235">
        <f t="shared" si="51"/>
        <v>0</v>
      </c>
      <c r="AH308" s="247">
        <f t="shared" si="55"/>
        <v>0</v>
      </c>
      <c r="AI308" s="251"/>
      <c r="AK308" s="240"/>
    </row>
    <row r="309" spans="1:37" x14ac:dyDescent="0.2">
      <c r="A309" s="248"/>
      <c r="B309" s="234"/>
      <c r="C309" s="235"/>
      <c r="D309" s="235"/>
      <c r="E309" s="235"/>
      <c r="F309" s="236"/>
      <c r="G309" s="239"/>
      <c r="H309" s="248"/>
      <c r="I309" s="234"/>
      <c r="J309" s="235"/>
      <c r="K309" s="235"/>
      <c r="L309" s="235"/>
      <c r="M309" s="236"/>
      <c r="N309" s="239"/>
      <c r="O309" s="253"/>
      <c r="P309" s="234"/>
      <c r="Q309" s="235"/>
      <c r="R309" s="235"/>
      <c r="S309" s="235"/>
      <c r="T309" s="236"/>
      <c r="U309" s="239"/>
      <c r="V309" s="254"/>
      <c r="W309" s="234"/>
      <c r="X309" s="235"/>
      <c r="Y309" s="235"/>
      <c r="Z309" s="235"/>
      <c r="AA309" s="247"/>
      <c r="AB309" s="251"/>
      <c r="AC309" s="521"/>
      <c r="AD309" s="234" t="s">
        <v>236</v>
      </c>
      <c r="AE309" s="235">
        <f t="shared" si="52"/>
        <v>0</v>
      </c>
      <c r="AF309" s="235">
        <f t="shared" si="54"/>
        <v>0</v>
      </c>
      <c r="AG309" s="235">
        <f t="shared" si="51"/>
        <v>0</v>
      </c>
      <c r="AH309" s="247">
        <f t="shared" si="55"/>
        <v>0</v>
      </c>
      <c r="AI309" s="251">
        <f>SUM(AF298:AF309)</f>
        <v>0</v>
      </c>
      <c r="AJ309" s="208">
        <f>AC298</f>
        <v>2045</v>
      </c>
      <c r="AK309" s="240">
        <f>G309+N309+U309+AB309+AI309</f>
        <v>0</v>
      </c>
    </row>
    <row r="310" spans="1:37" x14ac:dyDescent="0.2">
      <c r="A310" s="248"/>
      <c r="B310" s="234"/>
      <c r="C310" s="235"/>
      <c r="D310" s="235"/>
      <c r="E310" s="235"/>
      <c r="F310" s="236"/>
      <c r="G310" s="239"/>
      <c r="H310" s="248"/>
      <c r="I310" s="234"/>
      <c r="J310" s="235"/>
      <c r="K310" s="235"/>
      <c r="L310" s="235"/>
      <c r="M310" s="236"/>
      <c r="N310" s="239"/>
      <c r="O310" s="253"/>
      <c r="P310" s="234"/>
      <c r="Q310" s="235"/>
      <c r="R310" s="235"/>
      <c r="S310" s="235"/>
      <c r="T310" s="236"/>
      <c r="U310" s="239"/>
      <c r="V310" s="254"/>
      <c r="W310" s="234"/>
      <c r="X310" s="235"/>
      <c r="Y310" s="235"/>
      <c r="Z310" s="235"/>
      <c r="AA310" s="247"/>
      <c r="AB310" s="251"/>
      <c r="AC310" s="519">
        <v>2046</v>
      </c>
      <c r="AD310" s="234" t="s">
        <v>225</v>
      </c>
      <c r="AE310" s="235"/>
      <c r="AF310" s="235"/>
      <c r="AG310" s="235"/>
      <c r="AH310" s="247">
        <f t="shared" si="55"/>
        <v>0</v>
      </c>
      <c r="AI310" s="251"/>
      <c r="AK310" s="240"/>
    </row>
    <row r="311" spans="1:37" x14ac:dyDescent="0.2">
      <c r="A311" s="248"/>
      <c r="B311" s="234"/>
      <c r="C311" s="235"/>
      <c r="D311" s="235"/>
      <c r="E311" s="235"/>
      <c r="F311" s="236"/>
      <c r="G311" s="239"/>
      <c r="H311" s="248"/>
      <c r="I311" s="234"/>
      <c r="J311" s="235"/>
      <c r="K311" s="235"/>
      <c r="L311" s="235"/>
      <c r="M311" s="236"/>
      <c r="N311" s="239"/>
      <c r="O311" s="253"/>
      <c r="P311" s="234"/>
      <c r="Q311" s="235"/>
      <c r="R311" s="235"/>
      <c r="S311" s="235"/>
      <c r="T311" s="236"/>
      <c r="U311" s="239"/>
      <c r="V311" s="254"/>
      <c r="W311" s="234"/>
      <c r="X311" s="235"/>
      <c r="Y311" s="235"/>
      <c r="Z311" s="235"/>
      <c r="AA311" s="247"/>
      <c r="AB311" s="251"/>
      <c r="AC311" s="520"/>
      <c r="AD311" s="234" t="s">
        <v>226</v>
      </c>
      <c r="AE311" s="235"/>
      <c r="AF311" s="235"/>
      <c r="AG311" s="235"/>
      <c r="AH311" s="247">
        <f t="shared" si="55"/>
        <v>0</v>
      </c>
      <c r="AI311" s="251"/>
      <c r="AK311" s="240"/>
    </row>
    <row r="312" spans="1:37" x14ac:dyDescent="0.2">
      <c r="A312" s="248"/>
      <c r="B312" s="234"/>
      <c r="C312" s="235"/>
      <c r="D312" s="235"/>
      <c r="E312" s="235"/>
      <c r="F312" s="236"/>
      <c r="G312" s="239"/>
      <c r="H312" s="248"/>
      <c r="I312" s="234"/>
      <c r="J312" s="235"/>
      <c r="K312" s="235"/>
      <c r="L312" s="235"/>
      <c r="M312" s="236"/>
      <c r="N312" s="239"/>
      <c r="O312" s="253"/>
      <c r="P312" s="234"/>
      <c r="Q312" s="235"/>
      <c r="R312" s="235"/>
      <c r="S312" s="235"/>
      <c r="T312" s="236"/>
      <c r="U312" s="239"/>
      <c r="V312" s="254"/>
      <c r="W312" s="234"/>
      <c r="X312" s="235"/>
      <c r="Y312" s="235"/>
      <c r="Z312" s="235"/>
      <c r="AA312" s="247"/>
      <c r="AB312" s="251"/>
      <c r="AC312" s="520"/>
      <c r="AD312" s="234" t="s">
        <v>227</v>
      </c>
      <c r="AE312" s="235"/>
      <c r="AF312" s="235"/>
      <c r="AG312" s="235"/>
      <c r="AH312" s="247">
        <f t="shared" si="55"/>
        <v>0</v>
      </c>
      <c r="AI312" s="251"/>
      <c r="AK312" s="240"/>
    </row>
    <row r="313" spans="1:37" x14ac:dyDescent="0.2">
      <c r="A313" s="248"/>
      <c r="B313" s="234"/>
      <c r="C313" s="235"/>
      <c r="D313" s="235"/>
      <c r="E313" s="235"/>
      <c r="F313" s="236"/>
      <c r="G313" s="239"/>
      <c r="H313" s="248"/>
      <c r="I313" s="234"/>
      <c r="J313" s="235"/>
      <c r="K313" s="235"/>
      <c r="L313" s="235"/>
      <c r="M313" s="236"/>
      <c r="N313" s="239"/>
      <c r="O313" s="253"/>
      <c r="P313" s="234"/>
      <c r="Q313" s="235"/>
      <c r="R313" s="235"/>
      <c r="S313" s="235"/>
      <c r="T313" s="236"/>
      <c r="U313" s="239"/>
      <c r="V313" s="254"/>
      <c r="W313" s="234"/>
      <c r="X313" s="235"/>
      <c r="Y313" s="235"/>
      <c r="Z313" s="235"/>
      <c r="AA313" s="247"/>
      <c r="AB313" s="251"/>
      <c r="AC313" s="520"/>
      <c r="AD313" s="234" t="s">
        <v>228</v>
      </c>
      <c r="AE313" s="235"/>
      <c r="AF313" s="235"/>
      <c r="AG313" s="235"/>
      <c r="AH313" s="247">
        <f t="shared" si="55"/>
        <v>0</v>
      </c>
      <c r="AI313" s="251"/>
      <c r="AK313" s="240"/>
    </row>
    <row r="314" spans="1:37" x14ac:dyDescent="0.2">
      <c r="A314" s="248"/>
      <c r="B314" s="234"/>
      <c r="C314" s="235"/>
      <c r="D314" s="235"/>
      <c r="E314" s="235"/>
      <c r="F314" s="236"/>
      <c r="G314" s="239"/>
      <c r="H314" s="248"/>
      <c r="I314" s="234"/>
      <c r="J314" s="235"/>
      <c r="K314" s="235"/>
      <c r="L314" s="235"/>
      <c r="M314" s="236"/>
      <c r="N314" s="239"/>
      <c r="O314" s="253"/>
      <c r="P314" s="234"/>
      <c r="Q314" s="235"/>
      <c r="R314" s="235"/>
      <c r="S314" s="235"/>
      <c r="T314" s="236"/>
      <c r="U314" s="239"/>
      <c r="V314" s="254"/>
      <c r="W314" s="234"/>
      <c r="X314" s="235"/>
      <c r="Y314" s="235"/>
      <c r="Z314" s="235"/>
      <c r="AA314" s="247"/>
      <c r="AB314" s="251"/>
      <c r="AC314" s="520"/>
      <c r="AD314" s="234" t="s">
        <v>229</v>
      </c>
      <c r="AE314" s="235"/>
      <c r="AF314" s="235"/>
      <c r="AG314" s="235"/>
      <c r="AH314" s="247">
        <f t="shared" si="55"/>
        <v>0</v>
      </c>
      <c r="AI314" s="251"/>
      <c r="AK314" s="240"/>
    </row>
    <row r="315" spans="1:37" x14ac:dyDescent="0.2">
      <c r="A315" s="248"/>
      <c r="B315" s="234"/>
      <c r="C315" s="235"/>
      <c r="D315" s="235"/>
      <c r="E315" s="235"/>
      <c r="F315" s="236"/>
      <c r="G315" s="239"/>
      <c r="H315" s="248"/>
      <c r="I315" s="234"/>
      <c r="J315" s="235"/>
      <c r="K315" s="235"/>
      <c r="L315" s="235"/>
      <c r="M315" s="236"/>
      <c r="N315" s="239"/>
      <c r="O315" s="253"/>
      <c r="P315" s="234"/>
      <c r="Q315" s="235"/>
      <c r="R315" s="235"/>
      <c r="S315" s="235"/>
      <c r="T315" s="236"/>
      <c r="U315" s="239"/>
      <c r="V315" s="254"/>
      <c r="W315" s="234"/>
      <c r="X315" s="235"/>
      <c r="Y315" s="235"/>
      <c r="Z315" s="235"/>
      <c r="AA315" s="247"/>
      <c r="AB315" s="251"/>
      <c r="AC315" s="520"/>
      <c r="AD315" s="234" t="s">
        <v>230</v>
      </c>
      <c r="AE315" s="235"/>
      <c r="AF315" s="235"/>
      <c r="AG315" s="235"/>
      <c r="AH315" s="247">
        <f t="shared" si="55"/>
        <v>0</v>
      </c>
      <c r="AI315" s="251"/>
      <c r="AK315" s="240"/>
    </row>
    <row r="316" spans="1:37" x14ac:dyDescent="0.2">
      <c r="A316" s="248"/>
      <c r="B316" s="234"/>
      <c r="C316" s="235"/>
      <c r="D316" s="235"/>
      <c r="E316" s="235"/>
      <c r="F316" s="236"/>
      <c r="G316" s="239"/>
      <c r="H316" s="248"/>
      <c r="I316" s="234"/>
      <c r="J316" s="235"/>
      <c r="K316" s="235"/>
      <c r="L316" s="235"/>
      <c r="M316" s="236"/>
      <c r="N316" s="239"/>
      <c r="O316" s="253"/>
      <c r="P316" s="234"/>
      <c r="Q316" s="235"/>
      <c r="R316" s="235"/>
      <c r="S316" s="235"/>
      <c r="T316" s="236"/>
      <c r="U316" s="239"/>
      <c r="V316" s="254"/>
      <c r="W316" s="234"/>
      <c r="X316" s="235"/>
      <c r="Y316" s="235"/>
      <c r="Z316" s="235"/>
      <c r="AA316" s="247"/>
      <c r="AB316" s="251"/>
      <c r="AC316" s="520"/>
      <c r="AD316" s="234" t="s">
        <v>231</v>
      </c>
      <c r="AE316" s="235"/>
      <c r="AF316" s="235"/>
      <c r="AG316" s="235"/>
      <c r="AH316" s="247">
        <f t="shared" si="55"/>
        <v>0</v>
      </c>
      <c r="AI316" s="251"/>
      <c r="AK316" s="240"/>
    </row>
    <row r="317" spans="1:37" x14ac:dyDescent="0.2">
      <c r="A317" s="248"/>
      <c r="B317" s="234"/>
      <c r="C317" s="235"/>
      <c r="D317" s="235"/>
      <c r="E317" s="235"/>
      <c r="F317" s="236"/>
      <c r="G317" s="239"/>
      <c r="H317" s="248"/>
      <c r="I317" s="234"/>
      <c r="J317" s="235"/>
      <c r="K317" s="235"/>
      <c r="L317" s="235"/>
      <c r="M317" s="236"/>
      <c r="N317" s="239"/>
      <c r="O317" s="253"/>
      <c r="P317" s="234"/>
      <c r="Q317" s="235"/>
      <c r="R317" s="235"/>
      <c r="S317" s="235"/>
      <c r="T317" s="236"/>
      <c r="U317" s="239"/>
      <c r="V317" s="254"/>
      <c r="W317" s="234"/>
      <c r="X317" s="235"/>
      <c r="Y317" s="235"/>
      <c r="Z317" s="235"/>
      <c r="AA317" s="247"/>
      <c r="AB317" s="251"/>
      <c r="AC317" s="520"/>
      <c r="AD317" s="234" t="s">
        <v>232</v>
      </c>
      <c r="AE317" s="235"/>
      <c r="AF317" s="235"/>
      <c r="AG317" s="235"/>
      <c r="AH317" s="247">
        <f t="shared" si="55"/>
        <v>0</v>
      </c>
      <c r="AI317" s="251"/>
      <c r="AK317" s="240"/>
    </row>
    <row r="318" spans="1:37" x14ac:dyDescent="0.2">
      <c r="A318" s="248"/>
      <c r="B318" s="234"/>
      <c r="C318" s="235"/>
      <c r="D318" s="235"/>
      <c r="E318" s="235"/>
      <c r="F318" s="236"/>
      <c r="G318" s="239"/>
      <c r="H318" s="248"/>
      <c r="I318" s="234"/>
      <c r="J318" s="235"/>
      <c r="K318" s="235"/>
      <c r="L318" s="235"/>
      <c r="M318" s="236"/>
      <c r="N318" s="239"/>
      <c r="O318" s="253"/>
      <c r="P318" s="234"/>
      <c r="Q318" s="235"/>
      <c r="R318" s="235"/>
      <c r="S318" s="235"/>
      <c r="T318" s="236"/>
      <c r="U318" s="239"/>
      <c r="V318" s="254"/>
      <c r="W318" s="234"/>
      <c r="X318" s="235"/>
      <c r="Y318" s="235"/>
      <c r="Z318" s="235"/>
      <c r="AA318" s="247"/>
      <c r="AB318" s="251"/>
      <c r="AC318" s="520"/>
      <c r="AD318" s="234" t="s">
        <v>233</v>
      </c>
      <c r="AE318" s="235"/>
      <c r="AF318" s="235"/>
      <c r="AG318" s="235"/>
      <c r="AH318" s="247">
        <f t="shared" si="55"/>
        <v>0</v>
      </c>
      <c r="AI318" s="251"/>
      <c r="AK318" s="240"/>
    </row>
    <row r="319" spans="1:37" x14ac:dyDescent="0.2">
      <c r="A319" s="248"/>
      <c r="B319" s="234"/>
      <c r="C319" s="235"/>
      <c r="D319" s="235"/>
      <c r="E319" s="235"/>
      <c r="F319" s="236"/>
      <c r="G319" s="239"/>
      <c r="H319" s="248"/>
      <c r="I319" s="234"/>
      <c r="J319" s="235"/>
      <c r="K319" s="235"/>
      <c r="L319" s="235"/>
      <c r="M319" s="236"/>
      <c r="N319" s="239"/>
      <c r="O319" s="253"/>
      <c r="P319" s="234"/>
      <c r="Q319" s="235"/>
      <c r="R319" s="235"/>
      <c r="S319" s="235"/>
      <c r="T319" s="236"/>
      <c r="U319" s="239"/>
      <c r="V319" s="254"/>
      <c r="W319" s="234"/>
      <c r="X319" s="235"/>
      <c r="Y319" s="235"/>
      <c r="Z319" s="235"/>
      <c r="AA319" s="247"/>
      <c r="AB319" s="251"/>
      <c r="AC319" s="520"/>
      <c r="AD319" s="234" t="s">
        <v>234</v>
      </c>
      <c r="AE319" s="235"/>
      <c r="AF319" s="235"/>
      <c r="AG319" s="235"/>
      <c r="AH319" s="247">
        <f t="shared" si="55"/>
        <v>0</v>
      </c>
      <c r="AI319" s="251"/>
      <c r="AK319" s="240"/>
    </row>
    <row r="320" spans="1:37" x14ac:dyDescent="0.2">
      <c r="A320" s="248"/>
      <c r="B320" s="234"/>
      <c r="C320" s="235"/>
      <c r="D320" s="235"/>
      <c r="E320" s="235"/>
      <c r="F320" s="236"/>
      <c r="G320" s="239"/>
      <c r="H320" s="248"/>
      <c r="I320" s="234"/>
      <c r="J320" s="235"/>
      <c r="K320" s="235"/>
      <c r="L320" s="235"/>
      <c r="M320" s="236"/>
      <c r="N320" s="239"/>
      <c r="O320" s="253"/>
      <c r="P320" s="234"/>
      <c r="Q320" s="235"/>
      <c r="R320" s="235"/>
      <c r="S320" s="235"/>
      <c r="T320" s="236"/>
      <c r="U320" s="239"/>
      <c r="V320" s="254"/>
      <c r="W320" s="234"/>
      <c r="X320" s="235"/>
      <c r="Y320" s="235"/>
      <c r="Z320" s="235"/>
      <c r="AA320" s="247"/>
      <c r="AB320" s="251"/>
      <c r="AC320" s="520"/>
      <c r="AD320" s="234" t="s">
        <v>235</v>
      </c>
      <c r="AE320" s="235"/>
      <c r="AF320" s="235"/>
      <c r="AG320" s="235"/>
      <c r="AH320" s="247">
        <f t="shared" si="55"/>
        <v>0</v>
      </c>
      <c r="AI320" s="251"/>
      <c r="AK320" s="240"/>
    </row>
    <row r="321" spans="1:37" x14ac:dyDescent="0.2">
      <c r="A321" s="248"/>
      <c r="B321" s="234"/>
      <c r="C321" s="235"/>
      <c r="D321" s="235"/>
      <c r="E321" s="235"/>
      <c r="F321" s="236"/>
      <c r="G321" s="239"/>
      <c r="H321" s="248"/>
      <c r="I321" s="234"/>
      <c r="J321" s="235"/>
      <c r="K321" s="235"/>
      <c r="L321" s="235"/>
      <c r="M321" s="236"/>
      <c r="N321" s="239"/>
      <c r="O321" s="253"/>
      <c r="P321" s="234"/>
      <c r="Q321" s="235"/>
      <c r="R321" s="235"/>
      <c r="S321" s="235"/>
      <c r="T321" s="236"/>
      <c r="U321" s="239"/>
      <c r="V321" s="254"/>
      <c r="W321" s="234"/>
      <c r="X321" s="235"/>
      <c r="Y321" s="235"/>
      <c r="Z321" s="235"/>
      <c r="AA321" s="247"/>
      <c r="AB321" s="251"/>
      <c r="AC321" s="521"/>
      <c r="AD321" s="234" t="s">
        <v>236</v>
      </c>
      <c r="AE321" s="235"/>
      <c r="AF321" s="235"/>
      <c r="AG321" s="235"/>
      <c r="AH321" s="247">
        <f t="shared" si="55"/>
        <v>0</v>
      </c>
      <c r="AI321" s="251"/>
      <c r="AK321" s="240"/>
    </row>
    <row r="322" spans="1:37" x14ac:dyDescent="0.2">
      <c r="A322" s="248"/>
      <c r="B322" s="234"/>
      <c r="C322" s="235"/>
      <c r="D322" s="235"/>
      <c r="E322" s="235"/>
      <c r="F322" s="236"/>
      <c r="G322" s="239"/>
      <c r="H322" s="248"/>
      <c r="I322" s="234"/>
      <c r="J322" s="235"/>
      <c r="K322" s="235"/>
      <c r="L322" s="235"/>
      <c r="M322" s="236"/>
      <c r="N322" s="239"/>
      <c r="O322" s="253"/>
      <c r="P322" s="234"/>
      <c r="Q322" s="235"/>
      <c r="R322" s="235"/>
      <c r="S322" s="235"/>
      <c r="T322" s="236"/>
      <c r="U322" s="239"/>
      <c r="V322" s="254"/>
      <c r="W322" s="234"/>
      <c r="X322" s="235"/>
      <c r="Y322" s="235"/>
      <c r="Z322" s="235"/>
      <c r="AA322" s="247"/>
      <c r="AB322" s="251"/>
      <c r="AC322" s="519">
        <v>2047</v>
      </c>
      <c r="AD322" s="234" t="s">
        <v>225</v>
      </c>
      <c r="AE322" s="235"/>
      <c r="AF322" s="235"/>
      <c r="AG322" s="235"/>
      <c r="AH322" s="247">
        <f t="shared" si="55"/>
        <v>0</v>
      </c>
      <c r="AI322" s="251"/>
      <c r="AK322" s="240"/>
    </row>
    <row r="323" spans="1:37" x14ac:dyDescent="0.2">
      <c r="A323" s="248"/>
      <c r="B323" s="234"/>
      <c r="C323" s="235"/>
      <c r="D323" s="235"/>
      <c r="E323" s="235"/>
      <c r="F323" s="236"/>
      <c r="G323" s="239"/>
      <c r="H323" s="248"/>
      <c r="I323" s="234"/>
      <c r="J323" s="235"/>
      <c r="K323" s="235"/>
      <c r="L323" s="235"/>
      <c r="M323" s="236"/>
      <c r="N323" s="239"/>
      <c r="O323" s="253"/>
      <c r="P323" s="234"/>
      <c r="Q323" s="235"/>
      <c r="R323" s="235"/>
      <c r="S323" s="235"/>
      <c r="T323" s="236"/>
      <c r="U323" s="239"/>
      <c r="V323" s="254"/>
      <c r="W323" s="234"/>
      <c r="X323" s="235"/>
      <c r="Y323" s="235"/>
      <c r="Z323" s="235"/>
      <c r="AA323" s="247"/>
      <c r="AB323" s="251"/>
      <c r="AC323" s="520"/>
      <c r="AD323" s="234" t="s">
        <v>226</v>
      </c>
      <c r="AE323" s="235"/>
      <c r="AF323" s="235"/>
      <c r="AG323" s="235"/>
      <c r="AH323" s="247">
        <f t="shared" si="55"/>
        <v>0</v>
      </c>
      <c r="AI323" s="251"/>
      <c r="AK323" s="240"/>
    </row>
    <row r="324" spans="1:37" x14ac:dyDescent="0.2">
      <c r="A324" s="248"/>
      <c r="B324" s="234"/>
      <c r="C324" s="235"/>
      <c r="D324" s="235"/>
      <c r="E324" s="235"/>
      <c r="F324" s="236"/>
      <c r="G324" s="239"/>
      <c r="H324" s="248"/>
      <c r="I324" s="234"/>
      <c r="J324" s="235"/>
      <c r="K324" s="235"/>
      <c r="L324" s="235"/>
      <c r="M324" s="236"/>
      <c r="N324" s="239"/>
      <c r="O324" s="253"/>
      <c r="P324" s="234"/>
      <c r="Q324" s="235"/>
      <c r="R324" s="235"/>
      <c r="S324" s="235"/>
      <c r="T324" s="236"/>
      <c r="U324" s="239"/>
      <c r="V324" s="254"/>
      <c r="W324" s="234"/>
      <c r="X324" s="235"/>
      <c r="Y324" s="235"/>
      <c r="Z324" s="235"/>
      <c r="AA324" s="247"/>
      <c r="AB324" s="251"/>
      <c r="AC324" s="520"/>
      <c r="AD324" s="234" t="s">
        <v>227</v>
      </c>
      <c r="AE324" s="235"/>
      <c r="AF324" s="235"/>
      <c r="AG324" s="235"/>
      <c r="AH324" s="247">
        <f t="shared" si="55"/>
        <v>0</v>
      </c>
      <c r="AI324" s="251"/>
      <c r="AK324" s="240"/>
    </row>
    <row r="325" spans="1:37" x14ac:dyDescent="0.2">
      <c r="A325" s="248"/>
      <c r="B325" s="234"/>
      <c r="C325" s="235"/>
      <c r="D325" s="235"/>
      <c r="E325" s="235"/>
      <c r="F325" s="236"/>
      <c r="G325" s="239"/>
      <c r="H325" s="248"/>
      <c r="I325" s="234"/>
      <c r="J325" s="235"/>
      <c r="K325" s="235"/>
      <c r="L325" s="235"/>
      <c r="M325" s="236"/>
      <c r="N325" s="239"/>
      <c r="O325" s="253"/>
      <c r="P325" s="234"/>
      <c r="Q325" s="235"/>
      <c r="R325" s="235"/>
      <c r="S325" s="235"/>
      <c r="T325" s="236"/>
      <c r="U325" s="239"/>
      <c r="V325" s="254"/>
      <c r="W325" s="234"/>
      <c r="X325" s="235"/>
      <c r="Y325" s="235"/>
      <c r="Z325" s="235"/>
      <c r="AA325" s="247"/>
      <c r="AB325" s="251"/>
      <c r="AC325" s="520"/>
      <c r="AD325" s="234" t="s">
        <v>228</v>
      </c>
      <c r="AE325" s="235"/>
      <c r="AF325" s="235"/>
      <c r="AG325" s="235"/>
      <c r="AH325" s="247">
        <f t="shared" si="55"/>
        <v>0</v>
      </c>
      <c r="AI325" s="251"/>
      <c r="AK325" s="240"/>
    </row>
    <row r="326" spans="1:37" x14ac:dyDescent="0.2">
      <c r="A326" s="248"/>
      <c r="B326" s="234"/>
      <c r="C326" s="235"/>
      <c r="D326" s="235"/>
      <c r="E326" s="235"/>
      <c r="F326" s="236"/>
      <c r="G326" s="239"/>
      <c r="H326" s="248"/>
      <c r="I326" s="234"/>
      <c r="J326" s="235"/>
      <c r="K326" s="235"/>
      <c r="L326" s="235"/>
      <c r="M326" s="236"/>
      <c r="N326" s="239"/>
      <c r="O326" s="253"/>
      <c r="P326" s="234"/>
      <c r="Q326" s="235"/>
      <c r="R326" s="235"/>
      <c r="S326" s="235"/>
      <c r="T326" s="236"/>
      <c r="U326" s="239"/>
      <c r="V326" s="254"/>
      <c r="W326" s="234"/>
      <c r="X326" s="235"/>
      <c r="Y326" s="235"/>
      <c r="Z326" s="235"/>
      <c r="AA326" s="247"/>
      <c r="AB326" s="251"/>
      <c r="AC326" s="520"/>
      <c r="AD326" s="234" t="s">
        <v>229</v>
      </c>
      <c r="AE326" s="235"/>
      <c r="AF326" s="235"/>
      <c r="AG326" s="235"/>
      <c r="AH326" s="247"/>
      <c r="AI326" s="251"/>
      <c r="AK326" s="240"/>
    </row>
    <row r="327" spans="1:37" x14ac:dyDescent="0.2">
      <c r="A327" s="248"/>
      <c r="B327" s="234"/>
      <c r="C327" s="235"/>
      <c r="D327" s="235"/>
      <c r="E327" s="235"/>
      <c r="F327" s="236"/>
      <c r="G327" s="239"/>
      <c r="H327" s="248"/>
      <c r="I327" s="234"/>
      <c r="J327" s="235"/>
      <c r="K327" s="235"/>
      <c r="L327" s="235"/>
      <c r="M327" s="236"/>
      <c r="N327" s="239"/>
      <c r="O327" s="253"/>
      <c r="P327" s="234"/>
      <c r="Q327" s="235"/>
      <c r="R327" s="235"/>
      <c r="S327" s="235"/>
      <c r="T327" s="236"/>
      <c r="U327" s="239"/>
      <c r="V327" s="254"/>
      <c r="W327" s="234"/>
      <c r="X327" s="235"/>
      <c r="Y327" s="235"/>
      <c r="Z327" s="235"/>
      <c r="AA327" s="247"/>
      <c r="AB327" s="251"/>
      <c r="AC327" s="520"/>
      <c r="AD327" s="234" t="s">
        <v>230</v>
      </c>
      <c r="AE327" s="235"/>
      <c r="AF327" s="235"/>
      <c r="AG327" s="235"/>
      <c r="AH327" s="247"/>
      <c r="AI327" s="251"/>
      <c r="AK327" s="240"/>
    </row>
    <row r="328" spans="1:37" x14ac:dyDescent="0.2">
      <c r="A328" s="248"/>
      <c r="B328" s="234"/>
      <c r="C328" s="235"/>
      <c r="D328" s="235"/>
      <c r="E328" s="235"/>
      <c r="F328" s="236"/>
      <c r="G328" s="239"/>
      <c r="H328" s="248"/>
      <c r="I328" s="234"/>
      <c r="J328" s="235"/>
      <c r="K328" s="235"/>
      <c r="L328" s="235"/>
      <c r="M328" s="236"/>
      <c r="N328" s="239"/>
      <c r="O328" s="253"/>
      <c r="P328" s="234"/>
      <c r="Q328" s="235"/>
      <c r="R328" s="235"/>
      <c r="S328" s="235"/>
      <c r="T328" s="236"/>
      <c r="U328" s="239"/>
      <c r="V328" s="254"/>
      <c r="W328" s="234"/>
      <c r="X328" s="235"/>
      <c r="Y328" s="235"/>
      <c r="Z328" s="235"/>
      <c r="AA328" s="247"/>
      <c r="AB328" s="251"/>
      <c r="AC328" s="520"/>
      <c r="AD328" s="234" t="s">
        <v>231</v>
      </c>
      <c r="AE328" s="235"/>
      <c r="AF328" s="235"/>
      <c r="AG328" s="235"/>
      <c r="AH328" s="247"/>
      <c r="AI328" s="251"/>
      <c r="AK328" s="240"/>
    </row>
    <row r="329" spans="1:37" x14ac:dyDescent="0.2">
      <c r="A329" s="248"/>
      <c r="B329" s="234"/>
      <c r="C329" s="235"/>
      <c r="D329" s="235"/>
      <c r="E329" s="235"/>
      <c r="F329" s="236"/>
      <c r="G329" s="239"/>
      <c r="H329" s="248"/>
      <c r="I329" s="234"/>
      <c r="J329" s="235"/>
      <c r="K329" s="235"/>
      <c r="L329" s="235"/>
      <c r="M329" s="236"/>
      <c r="N329" s="239"/>
      <c r="O329" s="253"/>
      <c r="P329" s="234"/>
      <c r="Q329" s="235"/>
      <c r="R329" s="235"/>
      <c r="S329" s="235"/>
      <c r="T329" s="236"/>
      <c r="U329" s="239"/>
      <c r="V329" s="254"/>
      <c r="W329" s="234"/>
      <c r="X329" s="235"/>
      <c r="Y329" s="235"/>
      <c r="Z329" s="235"/>
      <c r="AA329" s="247"/>
      <c r="AB329" s="251"/>
      <c r="AC329" s="520"/>
      <c r="AD329" s="234" t="s">
        <v>232</v>
      </c>
      <c r="AE329" s="235"/>
      <c r="AF329" s="235"/>
      <c r="AG329" s="235"/>
      <c r="AH329" s="247"/>
      <c r="AI329" s="251"/>
      <c r="AK329" s="240"/>
    </row>
    <row r="330" spans="1:37" x14ac:dyDescent="0.2">
      <c r="A330" s="248"/>
      <c r="B330" s="234"/>
      <c r="C330" s="235"/>
      <c r="D330" s="235"/>
      <c r="E330" s="235"/>
      <c r="F330" s="236"/>
      <c r="G330" s="239"/>
      <c r="H330" s="248"/>
      <c r="I330" s="234"/>
      <c r="J330" s="235"/>
      <c r="K330" s="235"/>
      <c r="L330" s="235"/>
      <c r="M330" s="236"/>
      <c r="N330" s="239"/>
      <c r="O330" s="253"/>
      <c r="P330" s="234"/>
      <c r="Q330" s="235"/>
      <c r="R330" s="235"/>
      <c r="S330" s="235"/>
      <c r="T330" s="236"/>
      <c r="U330" s="239"/>
      <c r="V330" s="254"/>
      <c r="W330" s="234"/>
      <c r="X330" s="235"/>
      <c r="Y330" s="235"/>
      <c r="Z330" s="235"/>
      <c r="AA330" s="247">
        <f>Y330+Z330</f>
        <v>0</v>
      </c>
      <c r="AB330" s="239"/>
      <c r="AC330" s="520"/>
      <c r="AD330" s="234" t="s">
        <v>233</v>
      </c>
      <c r="AE330" s="235"/>
      <c r="AF330" s="235"/>
      <c r="AG330" s="235"/>
      <c r="AH330" s="247"/>
      <c r="AI330" s="239"/>
      <c r="AK330" s="240"/>
    </row>
    <row r="331" spans="1:37" x14ac:dyDescent="0.2">
      <c r="A331" s="248"/>
      <c r="B331" s="234"/>
      <c r="C331" s="235"/>
      <c r="D331" s="235"/>
      <c r="E331" s="235"/>
      <c r="F331" s="236"/>
      <c r="G331" s="239"/>
      <c r="H331" s="248"/>
      <c r="I331" s="234"/>
      <c r="J331" s="235"/>
      <c r="K331" s="235"/>
      <c r="L331" s="235"/>
      <c r="M331" s="236"/>
      <c r="N331" s="239"/>
      <c r="O331" s="253"/>
      <c r="P331" s="234"/>
      <c r="Q331" s="235"/>
      <c r="R331" s="235"/>
      <c r="S331" s="235"/>
      <c r="T331" s="236"/>
      <c r="U331" s="239"/>
      <c r="V331" s="254"/>
      <c r="W331" s="234"/>
      <c r="X331" s="235"/>
      <c r="Y331" s="235"/>
      <c r="Z331" s="235"/>
      <c r="AA331" s="247">
        <f>Y331+Z331</f>
        <v>0</v>
      </c>
      <c r="AB331" s="239"/>
      <c r="AC331" s="520"/>
      <c r="AD331" s="234" t="s">
        <v>234</v>
      </c>
      <c r="AE331" s="235"/>
      <c r="AF331" s="235"/>
      <c r="AG331" s="235"/>
      <c r="AH331" s="247"/>
      <c r="AI331" s="239"/>
      <c r="AK331" s="240"/>
    </row>
    <row r="332" spans="1:37" x14ac:dyDescent="0.2">
      <c r="A332" s="248"/>
      <c r="B332" s="234"/>
      <c r="C332" s="235"/>
      <c r="D332" s="235"/>
      <c r="E332" s="235"/>
      <c r="F332" s="236"/>
      <c r="G332" s="239"/>
      <c r="H332" s="248"/>
      <c r="I332" s="234"/>
      <c r="J332" s="235"/>
      <c r="K332" s="235"/>
      <c r="L332" s="235"/>
      <c r="M332" s="236"/>
      <c r="N332" s="239"/>
      <c r="O332" s="253"/>
      <c r="P332" s="234"/>
      <c r="Q332" s="235"/>
      <c r="R332" s="235"/>
      <c r="S332" s="235"/>
      <c r="T332" s="236"/>
      <c r="U332" s="239"/>
      <c r="V332" s="254"/>
      <c r="W332" s="234"/>
      <c r="X332" s="235"/>
      <c r="Y332" s="235"/>
      <c r="Z332" s="235"/>
      <c r="AA332" s="247"/>
      <c r="AB332" s="239"/>
      <c r="AC332" s="520"/>
      <c r="AD332" s="234" t="s">
        <v>235</v>
      </c>
      <c r="AE332" s="235"/>
      <c r="AF332" s="235"/>
      <c r="AG332" s="235"/>
      <c r="AH332" s="247"/>
      <c r="AI332" s="239"/>
      <c r="AK332" s="240"/>
    </row>
    <row r="333" spans="1:37" x14ac:dyDescent="0.2">
      <c r="A333" s="248"/>
      <c r="B333" s="234"/>
      <c r="C333" s="235"/>
      <c r="D333" s="235"/>
      <c r="E333" s="235"/>
      <c r="F333" s="236"/>
      <c r="G333" s="239"/>
      <c r="H333" s="248"/>
      <c r="I333" s="234"/>
      <c r="J333" s="235"/>
      <c r="K333" s="235"/>
      <c r="L333" s="235"/>
      <c r="M333" s="236"/>
      <c r="N333" s="239"/>
      <c r="O333" s="253"/>
      <c r="P333" s="234"/>
      <c r="Q333" s="235"/>
      <c r="R333" s="235"/>
      <c r="S333" s="235"/>
      <c r="T333" s="236"/>
      <c r="U333" s="239"/>
      <c r="V333" s="254"/>
      <c r="W333" s="234"/>
      <c r="X333" s="235"/>
      <c r="Y333" s="235"/>
      <c r="Z333" s="235"/>
      <c r="AA333" s="247"/>
      <c r="AB333" s="239"/>
      <c r="AC333" s="521"/>
      <c r="AD333" s="234" t="s">
        <v>236</v>
      </c>
      <c r="AE333" s="235"/>
      <c r="AF333" s="235"/>
      <c r="AG333" s="235"/>
      <c r="AH333" s="247"/>
      <c r="AI333" s="239"/>
      <c r="AK333" s="240"/>
    </row>
    <row r="334" spans="1:37" x14ac:dyDescent="0.2">
      <c r="A334" s="248"/>
      <c r="B334" s="234"/>
      <c r="C334" s="235"/>
      <c r="D334" s="235"/>
      <c r="E334" s="235"/>
      <c r="F334" s="236"/>
      <c r="G334" s="239"/>
      <c r="H334" s="248"/>
      <c r="I334" s="234"/>
      <c r="J334" s="235"/>
      <c r="K334" s="235"/>
      <c r="L334" s="235"/>
      <c r="M334" s="236"/>
      <c r="N334" s="239"/>
      <c r="O334" s="253"/>
      <c r="P334" s="234"/>
      <c r="Q334" s="235"/>
      <c r="R334" s="235"/>
      <c r="S334" s="235"/>
      <c r="T334" s="236"/>
      <c r="U334" s="239"/>
      <c r="V334" s="254"/>
      <c r="W334" s="234"/>
      <c r="X334" s="235"/>
      <c r="Y334" s="235"/>
      <c r="Z334" s="235"/>
      <c r="AA334" s="247"/>
      <c r="AB334" s="239"/>
      <c r="AC334" s="254"/>
      <c r="AD334" s="234"/>
      <c r="AE334" s="235"/>
      <c r="AF334" s="235"/>
      <c r="AG334" s="235"/>
      <c r="AH334" s="247"/>
      <c r="AI334" s="239"/>
      <c r="AK334" s="240"/>
    </row>
    <row r="335" spans="1:37" x14ac:dyDescent="0.2">
      <c r="A335" s="248"/>
      <c r="B335" s="234"/>
      <c r="C335" s="235"/>
      <c r="D335" s="235"/>
      <c r="E335" s="235"/>
      <c r="F335" s="236"/>
      <c r="G335" s="239"/>
      <c r="H335" s="248"/>
      <c r="I335" s="234"/>
      <c r="J335" s="235"/>
      <c r="K335" s="235"/>
      <c r="L335" s="235"/>
      <c r="M335" s="236"/>
      <c r="N335" s="239"/>
      <c r="O335" s="253"/>
      <c r="P335" s="234"/>
      <c r="Q335" s="235"/>
      <c r="R335" s="235"/>
      <c r="S335" s="235"/>
      <c r="T335" s="236"/>
      <c r="U335" s="239"/>
      <c r="V335" s="254"/>
      <c r="W335" s="234"/>
      <c r="X335" s="235"/>
      <c r="Y335" s="235"/>
      <c r="Z335" s="235"/>
      <c r="AA335" s="247"/>
      <c r="AB335" s="239"/>
      <c r="AC335" s="254"/>
      <c r="AD335" s="234"/>
      <c r="AE335" s="235"/>
      <c r="AF335" s="235"/>
      <c r="AG335" s="235"/>
      <c r="AH335" s="247"/>
      <c r="AI335" s="239"/>
      <c r="AK335" s="240"/>
    </row>
    <row r="336" spans="1:37" x14ac:dyDescent="0.2">
      <c r="A336" s="234"/>
      <c r="B336" s="234"/>
      <c r="C336" s="220" t="s">
        <v>879</v>
      </c>
      <c r="D336" s="236">
        <f>SUM(D10:D333)</f>
        <v>24645.576449999964</v>
      </c>
      <c r="E336" s="236">
        <f>SUM(E10:E333)</f>
        <v>24441.894000000022</v>
      </c>
      <c r="F336" s="236">
        <f>SUM(F10:F333)</f>
        <v>49087.470449999957</v>
      </c>
      <c r="G336" s="236">
        <f>SUM(G46:G189)</f>
        <v>24645.576449999964</v>
      </c>
      <c r="H336" s="234"/>
      <c r="I336" s="234"/>
      <c r="J336" s="220" t="s">
        <v>879</v>
      </c>
      <c r="K336" s="236">
        <f>SUM(K10:K333)</f>
        <v>2154.2678666666702</v>
      </c>
      <c r="L336" s="236">
        <f>SUM(L10:L333)</f>
        <v>2136.4639999999977</v>
      </c>
      <c r="M336" s="236">
        <f>SUM(M10:M333)</f>
        <v>4290.7318666666697</v>
      </c>
      <c r="N336" s="236">
        <f>SUM(N10:N333)</f>
        <v>2154.2678666666698</v>
      </c>
      <c r="O336" s="234"/>
      <c r="P336" s="234"/>
      <c r="Q336" s="220" t="s">
        <v>879</v>
      </c>
      <c r="R336" s="236">
        <f>SUM(R10:R333)</f>
        <v>8695.8777583333103</v>
      </c>
      <c r="S336" s="236">
        <f>SUM(S10:S333)</f>
        <v>8624.0110000000077</v>
      </c>
      <c r="T336" s="236">
        <f>SUM(T10:T333)</f>
        <v>17319.888758333313</v>
      </c>
      <c r="U336" s="236">
        <f>SUM(U10:U333)</f>
        <v>8695.8777583333122</v>
      </c>
      <c r="V336" s="234"/>
      <c r="W336" s="234"/>
      <c r="X336" s="220" t="s">
        <v>879</v>
      </c>
      <c r="Y336" s="236">
        <f>SUM(Y10:Y333)</f>
        <v>0</v>
      </c>
      <c r="Z336" s="236">
        <f>SUM(Z10:Z333)</f>
        <v>0</v>
      </c>
      <c r="AA336" s="236">
        <f>SUM(AA10:AA333)</f>
        <v>0</v>
      </c>
      <c r="AB336" s="236">
        <f>SUM(AB10:AB333)</f>
        <v>0</v>
      </c>
      <c r="AC336" s="234"/>
      <c r="AD336" s="234"/>
      <c r="AE336" s="220" t="s">
        <v>879</v>
      </c>
      <c r="AF336" s="236">
        <f>SUM(AF10:AF333)</f>
        <v>0</v>
      </c>
      <c r="AG336" s="236">
        <f>SUM(AG10:AG333)</f>
        <v>0</v>
      </c>
      <c r="AH336" s="236">
        <f>SUM(AH10:AH333)</f>
        <v>0</v>
      </c>
      <c r="AI336" s="236">
        <f>SUM(AI10:AI333)</f>
        <v>0</v>
      </c>
      <c r="AJ336" s="208" t="s">
        <v>0</v>
      </c>
      <c r="AK336" s="240">
        <f>SUM(AK10:AK335)</f>
        <v>35495.722074999954</v>
      </c>
    </row>
    <row r="337" spans="1:37" x14ac:dyDescent="0.2">
      <c r="A337" s="522" t="s">
        <v>880</v>
      </c>
      <c r="B337" s="522"/>
      <c r="C337" s="522"/>
      <c r="D337" s="255">
        <f>E337/E336</f>
        <v>1.0083333333333298</v>
      </c>
      <c r="E337" s="256">
        <f>F336-E336</f>
        <v>24645.576449999935</v>
      </c>
      <c r="F337" s="257"/>
      <c r="G337" s="257"/>
      <c r="H337" s="522" t="s">
        <v>880</v>
      </c>
      <c r="I337" s="522"/>
      <c r="J337" s="522"/>
      <c r="K337" s="255">
        <f>L337/L336</f>
        <v>1.0083333333333369</v>
      </c>
      <c r="L337" s="256">
        <f>M336-L336</f>
        <v>2154.267866666672</v>
      </c>
      <c r="M337" s="257"/>
      <c r="N337" s="257"/>
      <c r="O337" s="522" t="s">
        <v>880</v>
      </c>
      <c r="P337" s="522"/>
      <c r="Q337" s="522"/>
      <c r="R337" s="255">
        <f>S337/S336</f>
        <v>1.0083333333333291</v>
      </c>
      <c r="S337" s="256">
        <f>T336-S336</f>
        <v>8695.8777583333049</v>
      </c>
      <c r="T337" s="257"/>
      <c r="U337" s="257"/>
      <c r="V337" s="258"/>
      <c r="W337" s="258"/>
      <c r="X337" s="258"/>
      <c r="Y337" s="255" t="e">
        <f>Z337/Z336</f>
        <v>#DIV/0!</v>
      </c>
      <c r="Z337" s="256">
        <f>AA336-Z336</f>
        <v>0</v>
      </c>
      <c r="AA337" s="257"/>
      <c r="AB337" s="257"/>
      <c r="AC337" s="258"/>
      <c r="AD337" s="258"/>
      <c r="AE337" s="258"/>
      <c r="AF337" s="255" t="e">
        <f>AG337/AG336</f>
        <v>#DIV/0!</v>
      </c>
      <c r="AG337" s="256">
        <f>AH336-AG336</f>
        <v>0</v>
      </c>
      <c r="AH337" s="257"/>
      <c r="AI337" s="257"/>
    </row>
    <row r="338" spans="1:37" x14ac:dyDescent="0.2">
      <c r="S338" s="208" t="b">
        <f>S336=Q7</f>
        <v>0</v>
      </c>
    </row>
    <row r="339" spans="1:37" x14ac:dyDescent="0.2">
      <c r="S339" s="213">
        <f>Q7-S336</f>
        <v>0</v>
      </c>
    </row>
    <row r="340" spans="1:37" x14ac:dyDescent="0.2">
      <c r="B340" s="208" t="s">
        <v>881</v>
      </c>
      <c r="C340" s="269">
        <f>C7+J7+Q7+X7+AE7</f>
        <v>35202.368999999992</v>
      </c>
      <c r="D340" s="261"/>
      <c r="E340" s="210"/>
    </row>
    <row r="341" spans="1:37" x14ac:dyDescent="0.2">
      <c r="B341" s="208" t="s">
        <v>882</v>
      </c>
      <c r="C341" s="260">
        <f>E337+L337+S337+Z337+AG337</f>
        <v>35495.722074999911</v>
      </c>
      <c r="D341" s="261">
        <f>G336+N336</f>
        <v>26799.844316666633</v>
      </c>
      <c r="E341" s="261"/>
    </row>
    <row r="342" spans="1:37" x14ac:dyDescent="0.2">
      <c r="B342" s="208" t="s">
        <v>883</v>
      </c>
      <c r="C342" s="262">
        <f>C341/C340</f>
        <v>1.0083333333333311</v>
      </c>
      <c r="D342" s="262"/>
      <c r="F342" s="262"/>
    </row>
    <row r="343" spans="1:37" x14ac:dyDescent="0.2">
      <c r="B343" s="208" t="s">
        <v>898</v>
      </c>
      <c r="C343" s="270">
        <f>C340*1.2</f>
        <v>42242.842799999991</v>
      </c>
    </row>
    <row r="345" spans="1:37" x14ac:dyDescent="0.2">
      <c r="D345" s="208">
        <v>2022</v>
      </c>
      <c r="E345" s="208">
        <v>2023</v>
      </c>
      <c r="F345" s="208">
        <v>2024</v>
      </c>
      <c r="G345" s="208">
        <v>2025</v>
      </c>
      <c r="H345" s="208">
        <v>2026</v>
      </c>
      <c r="I345" s="208">
        <v>2027</v>
      </c>
      <c r="J345" s="208">
        <v>2028</v>
      </c>
      <c r="K345" s="208">
        <v>2029</v>
      </c>
      <c r="L345" s="208">
        <v>2030</v>
      </c>
      <c r="M345" s="208">
        <v>2031</v>
      </c>
      <c r="N345" s="208">
        <v>2032</v>
      </c>
      <c r="O345" s="208">
        <v>2033</v>
      </c>
      <c r="P345" s="208">
        <v>2034</v>
      </c>
      <c r="Q345" s="208">
        <v>2035</v>
      </c>
      <c r="R345" s="208">
        <v>2036</v>
      </c>
      <c r="S345" s="208">
        <v>2037</v>
      </c>
      <c r="T345" s="208">
        <v>2038</v>
      </c>
      <c r="U345" s="208">
        <v>2039</v>
      </c>
      <c r="V345" s="208">
        <v>2039</v>
      </c>
      <c r="W345" s="208">
        <v>2040</v>
      </c>
      <c r="X345" s="208">
        <v>2041</v>
      </c>
      <c r="Y345" s="208">
        <v>2042</v>
      </c>
      <c r="Z345" s="208">
        <v>2043</v>
      </c>
      <c r="AA345" s="208">
        <v>2044</v>
      </c>
      <c r="AB345" s="208">
        <v>2045</v>
      </c>
      <c r="AC345" s="208">
        <v>2046</v>
      </c>
      <c r="AD345" s="208">
        <v>2047</v>
      </c>
      <c r="AE345" s="208" t="s">
        <v>884</v>
      </c>
    </row>
    <row r="346" spans="1:37" x14ac:dyDescent="0.2">
      <c r="C346" s="208" t="s">
        <v>13</v>
      </c>
      <c r="D346" s="261" t="s">
        <v>893</v>
      </c>
      <c r="E346" s="261">
        <f>G33</f>
        <v>0</v>
      </c>
      <c r="F346" s="261">
        <f>G45</f>
        <v>0</v>
      </c>
      <c r="G346" s="261">
        <f>G57</f>
        <v>4664.3281049999987</v>
      </c>
      <c r="H346" s="261">
        <f>G69</f>
        <v>4175.4902249999986</v>
      </c>
      <c r="I346" s="261">
        <f>G81</f>
        <v>3686.6523449999981</v>
      </c>
      <c r="J346" s="261">
        <f>G93</f>
        <v>3197.8144649999972</v>
      </c>
      <c r="K346" s="261">
        <f>G105</f>
        <v>2708.9765849999967</v>
      </c>
      <c r="L346" s="261">
        <f>G117</f>
        <v>2220.1387049999962</v>
      </c>
      <c r="M346" s="261">
        <f>G129</f>
        <v>1731.3008249999955</v>
      </c>
      <c r="N346" s="261">
        <f>G141</f>
        <v>1242.4629449999952</v>
      </c>
      <c r="O346" s="261">
        <f>G153</f>
        <v>753.62506499999461</v>
      </c>
      <c r="P346" s="261">
        <f>G165</f>
        <v>264.78718499999491</v>
      </c>
      <c r="Q346" s="261">
        <f>G177</f>
        <v>0</v>
      </c>
      <c r="R346" s="240">
        <v>0</v>
      </c>
      <c r="S346" s="240">
        <f>AK213</f>
        <v>0</v>
      </c>
      <c r="T346" s="240"/>
      <c r="U346" s="240"/>
      <c r="V346" s="261">
        <f>AK237</f>
        <v>0</v>
      </c>
      <c r="W346" s="261">
        <f>AK249</f>
        <v>0</v>
      </c>
      <c r="X346" s="261">
        <f>AK261</f>
        <v>0</v>
      </c>
      <c r="Y346" s="240">
        <f>AK273</f>
        <v>0</v>
      </c>
      <c r="Z346" s="240">
        <f>AK285</f>
        <v>0</v>
      </c>
      <c r="AA346" s="261">
        <f>AK297</f>
        <v>0</v>
      </c>
      <c r="AB346" s="240">
        <f>AK309</f>
        <v>0</v>
      </c>
      <c r="AC346" s="261">
        <f>AK321</f>
        <v>0</v>
      </c>
      <c r="AD346" s="261">
        <f>AQ249</f>
        <v>0</v>
      </c>
      <c r="AE346" s="261">
        <f>SUM(D346:AD346)</f>
        <v>24645.576449999964</v>
      </c>
      <c r="AF346" s="240" t="b">
        <f>AK336=AE346</f>
        <v>0</v>
      </c>
      <c r="AG346" s="240"/>
      <c r="AH346" s="261"/>
      <c r="AJ346" s="261">
        <f>SUM(F346:U346)</f>
        <v>24645.576449999964</v>
      </c>
      <c r="AK346" s="261" t="b">
        <f>AJ346=G336</f>
        <v>1</v>
      </c>
    </row>
    <row r="347" spans="1:37" x14ac:dyDescent="0.2">
      <c r="D347" s="208" t="s">
        <v>886</v>
      </c>
      <c r="E347" s="263">
        <f>N33+U33</f>
        <v>0</v>
      </c>
      <c r="F347" s="263">
        <f>N45+U45</f>
        <v>0</v>
      </c>
      <c r="G347" s="263">
        <f>N57+U57</f>
        <v>407.70854666666679</v>
      </c>
      <c r="H347" s="263">
        <f>N69+U69</f>
        <v>364.97926666666677</v>
      </c>
      <c r="I347" s="263">
        <f>N81+U81</f>
        <v>1967.9987524999997</v>
      </c>
      <c r="J347" s="263">
        <f>N93+U93</f>
        <v>1752.7892524999991</v>
      </c>
      <c r="K347" s="263">
        <f>N105+U105</f>
        <v>1537.5797524999989</v>
      </c>
      <c r="L347" s="263">
        <f>N117+U117</f>
        <v>1322.3702524999985</v>
      </c>
      <c r="M347" s="263">
        <f>N129+U129</f>
        <v>1107.1607524999977</v>
      </c>
      <c r="N347" s="263">
        <f>N141+U141</f>
        <v>891.95125249999762</v>
      </c>
      <c r="O347" s="263">
        <f>N153+U153</f>
        <v>676.74175249999803</v>
      </c>
      <c r="P347" s="263">
        <f>N165+U165</f>
        <v>461.53225249999844</v>
      </c>
      <c r="Q347" s="263">
        <f>N177+U177</f>
        <v>265.90700583333143</v>
      </c>
      <c r="R347" s="261">
        <f>N189+U189</f>
        <v>93.426785833331365</v>
      </c>
      <c r="AJ347" s="261">
        <f>SUM(D347:U347)</f>
        <v>10850.145624999985</v>
      </c>
      <c r="AK347" s="208" t="b">
        <f>AJ347=N336+U336</f>
        <v>1</v>
      </c>
    </row>
    <row r="348" spans="1:37" x14ac:dyDescent="0.2">
      <c r="AJ348" s="261">
        <f>AJ346+AJ347</f>
        <v>35495.722074999947</v>
      </c>
    </row>
    <row r="352" spans="1:37" x14ac:dyDescent="0.2">
      <c r="F352" s="208" t="s">
        <v>887</v>
      </c>
      <c r="G352" s="264">
        <v>0.18</v>
      </c>
    </row>
    <row r="353" spans="5:8" x14ac:dyDescent="0.2">
      <c r="E353" s="208">
        <v>2025</v>
      </c>
      <c r="F353" s="261">
        <v>6086.4442491666696</v>
      </c>
      <c r="G353" s="263">
        <v>6695.0886740833357</v>
      </c>
      <c r="H353" s="261">
        <v>-608.64442491666614</v>
      </c>
    </row>
    <row r="354" spans="5:8" x14ac:dyDescent="0.2">
      <c r="E354" s="208" t="s">
        <v>888</v>
      </c>
      <c r="F354" s="265">
        <v>42594.87072500019</v>
      </c>
      <c r="G354" s="265">
        <v>46854.357797500168</v>
      </c>
      <c r="H354" s="261">
        <v>-4259.4870724999782</v>
      </c>
    </row>
  </sheetData>
  <mergeCells count="99">
    <mergeCell ref="A337:C337"/>
    <mergeCell ref="H337:J337"/>
    <mergeCell ref="O337:Q337"/>
    <mergeCell ref="O274:O285"/>
    <mergeCell ref="V274:V285"/>
    <mergeCell ref="V250:V261"/>
    <mergeCell ref="AC250:AC261"/>
    <mergeCell ref="V262:V273"/>
    <mergeCell ref="AC262:AC273"/>
    <mergeCell ref="AC322:AC333"/>
    <mergeCell ref="AC274:AC285"/>
    <mergeCell ref="AC286:AC297"/>
    <mergeCell ref="AC298:AC309"/>
    <mergeCell ref="AC310:AC321"/>
    <mergeCell ref="V214:V225"/>
    <mergeCell ref="AC214:AC225"/>
    <mergeCell ref="V226:V237"/>
    <mergeCell ref="AC226:AC237"/>
    <mergeCell ref="V238:V249"/>
    <mergeCell ref="AC238:AC249"/>
    <mergeCell ref="O190:O201"/>
    <mergeCell ref="V190:V201"/>
    <mergeCell ref="AC190:AC201"/>
    <mergeCell ref="V202:V213"/>
    <mergeCell ref="AC202:AC213"/>
    <mergeCell ref="V154:V165"/>
    <mergeCell ref="AC154:AC165"/>
    <mergeCell ref="O178:O189"/>
    <mergeCell ref="V178:V189"/>
    <mergeCell ref="AC178:AC189"/>
    <mergeCell ref="O166:O177"/>
    <mergeCell ref="V166:V177"/>
    <mergeCell ref="AC166:AC177"/>
    <mergeCell ref="V142:V153"/>
    <mergeCell ref="AC142:AC153"/>
    <mergeCell ref="A130:A141"/>
    <mergeCell ref="H130:H141"/>
    <mergeCell ref="O130:O141"/>
    <mergeCell ref="V130:V141"/>
    <mergeCell ref="AC130:AC141"/>
    <mergeCell ref="A154:A165"/>
    <mergeCell ref="H154:H165"/>
    <mergeCell ref="O154:O165"/>
    <mergeCell ref="A106:A117"/>
    <mergeCell ref="H106:H117"/>
    <mergeCell ref="O106:O117"/>
    <mergeCell ref="A142:A153"/>
    <mergeCell ref="H142:H153"/>
    <mergeCell ref="O142:O153"/>
    <mergeCell ref="V106:V117"/>
    <mergeCell ref="AC106:AC117"/>
    <mergeCell ref="A118:A129"/>
    <mergeCell ref="H118:H129"/>
    <mergeCell ref="O118:O129"/>
    <mergeCell ref="V118:V129"/>
    <mergeCell ref="AC118:AC129"/>
    <mergeCell ref="A82:A93"/>
    <mergeCell ref="H82:H93"/>
    <mergeCell ref="O82:O93"/>
    <mergeCell ref="V82:V93"/>
    <mergeCell ref="AC82:AC93"/>
    <mergeCell ref="A94:A105"/>
    <mergeCell ref="H94:H105"/>
    <mergeCell ref="O94:O105"/>
    <mergeCell ref="V94:V105"/>
    <mergeCell ref="AC94:AC105"/>
    <mergeCell ref="A58:A69"/>
    <mergeCell ref="H58:H69"/>
    <mergeCell ref="O58:O69"/>
    <mergeCell ref="V58:V69"/>
    <mergeCell ref="AC58:AC69"/>
    <mergeCell ref="A70:A81"/>
    <mergeCell ref="H70:H81"/>
    <mergeCell ref="O70:O81"/>
    <mergeCell ref="V70:V81"/>
    <mergeCell ref="AC70:AC81"/>
    <mergeCell ref="A34:A45"/>
    <mergeCell ref="H34:H45"/>
    <mergeCell ref="O34:O45"/>
    <mergeCell ref="V34:V45"/>
    <mergeCell ref="AC34:AC45"/>
    <mergeCell ref="A46:A57"/>
    <mergeCell ref="H46:H57"/>
    <mergeCell ref="O46:O57"/>
    <mergeCell ref="V46:V57"/>
    <mergeCell ref="AC46:AC57"/>
    <mergeCell ref="V10:V21"/>
    <mergeCell ref="AC10:AC21"/>
    <mergeCell ref="A22:A33"/>
    <mergeCell ref="H22:H33"/>
    <mergeCell ref="O22:O33"/>
    <mergeCell ref="V22:V33"/>
    <mergeCell ref="AC22:AC33"/>
    <mergeCell ref="A6:F6"/>
    <mergeCell ref="H6:M6"/>
    <mergeCell ref="O6:T6"/>
    <mergeCell ref="A10:A21"/>
    <mergeCell ref="H10:H21"/>
    <mergeCell ref="O10:O2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K354"/>
  <sheetViews>
    <sheetView topLeftCell="D1" workbookViewId="0">
      <selection activeCell="D341" sqref="D341"/>
    </sheetView>
  </sheetViews>
  <sheetFormatPr defaultRowHeight="12" x14ac:dyDescent="0.2"/>
  <cols>
    <col min="1" max="1" width="6.42578125" style="208" customWidth="1"/>
    <col min="2" max="2" width="20.7109375" style="208" customWidth="1"/>
    <col min="3" max="3" width="18.5703125" style="208" customWidth="1"/>
    <col min="4" max="4" width="11.7109375" style="208" customWidth="1"/>
    <col min="5" max="5" width="14.42578125" style="208" customWidth="1"/>
    <col min="6" max="6" width="13.42578125" style="208" customWidth="1"/>
    <col min="7" max="7" width="10.7109375" style="208" customWidth="1"/>
    <col min="8" max="8" width="9.85546875" style="208" bestFit="1" customWidth="1"/>
    <col min="9" max="9" width="10.7109375" style="208" customWidth="1"/>
    <col min="10" max="10" width="11.5703125" style="208" customWidth="1"/>
    <col min="11" max="11" width="12.85546875" style="208" customWidth="1"/>
    <col min="12" max="12" width="14.42578125" style="208" customWidth="1"/>
    <col min="13" max="13" width="12.85546875" style="208" customWidth="1"/>
    <col min="14" max="14" width="11.5703125" style="208" bestFit="1" customWidth="1"/>
    <col min="15" max="15" width="9.28515625" style="208" customWidth="1"/>
    <col min="16" max="16" width="20.7109375" style="208" customWidth="1"/>
    <col min="17" max="17" width="12.28515625" style="208" customWidth="1"/>
    <col min="18" max="18" width="12.85546875" style="208" customWidth="1"/>
    <col min="19" max="19" width="14.42578125" style="208" customWidth="1"/>
    <col min="20" max="20" width="12.85546875" style="208" customWidth="1"/>
    <col min="21" max="21" width="11.140625" style="208" customWidth="1"/>
    <col min="22" max="22" width="9.28515625" style="208" hidden="1" customWidth="1"/>
    <col min="23" max="23" width="20.7109375" style="208" hidden="1" customWidth="1"/>
    <col min="24" max="24" width="11.5703125" style="208" hidden="1" customWidth="1"/>
    <col min="25" max="25" width="12.85546875" style="208" hidden="1" customWidth="1"/>
    <col min="26" max="26" width="14.42578125" style="208" hidden="1" customWidth="1"/>
    <col min="27" max="27" width="12.85546875" style="208" hidden="1" customWidth="1"/>
    <col min="28" max="28" width="11.140625" style="208" hidden="1" customWidth="1"/>
    <col min="29" max="29" width="9.28515625" style="208" hidden="1" customWidth="1"/>
    <col min="30" max="30" width="20.7109375" style="208" hidden="1" customWidth="1"/>
    <col min="31" max="31" width="11.5703125" style="208" hidden="1" customWidth="1"/>
    <col min="32" max="32" width="12.85546875" style="208" hidden="1" customWidth="1"/>
    <col min="33" max="33" width="14.42578125" style="208" hidden="1" customWidth="1"/>
    <col min="34" max="34" width="12.85546875" style="208" hidden="1" customWidth="1"/>
    <col min="35" max="35" width="11.140625" style="208" hidden="1" customWidth="1"/>
    <col min="36" max="36" width="9.140625" style="208"/>
    <col min="37" max="37" width="16.7109375" style="208" bestFit="1" customWidth="1"/>
    <col min="38" max="16384" width="9.140625" style="208"/>
  </cols>
  <sheetData>
    <row r="1" spans="1:37" x14ac:dyDescent="0.2">
      <c r="D1" s="208" t="s">
        <v>857</v>
      </c>
    </row>
    <row r="3" spans="1:37" s="209" customFormat="1" x14ac:dyDescent="0.2">
      <c r="B3" s="209" t="s">
        <v>896</v>
      </c>
      <c r="H3" s="209" t="s">
        <v>897</v>
      </c>
      <c r="P3" s="209" t="str">
        <f>H3</f>
        <v>Расчет процентов по займу. Тепловые сети котельной №4</v>
      </c>
    </row>
    <row r="4" spans="1:37" ht="18" customHeight="1" x14ac:dyDescent="0.2">
      <c r="A4" s="210" t="s">
        <v>860</v>
      </c>
      <c r="B4" s="266">
        <f>'[1]План меропр_4'!I28</f>
        <v>2025</v>
      </c>
      <c r="C4" s="208" t="s">
        <v>861</v>
      </c>
      <c r="D4" s="212"/>
      <c r="E4" s="213"/>
      <c r="F4" s="210"/>
      <c r="H4" s="210" t="s">
        <v>862</v>
      </c>
      <c r="I4" s="266">
        <f>B4</f>
        <v>2025</v>
      </c>
      <c r="J4" s="208" t="s">
        <v>479</v>
      </c>
      <c r="O4" s="210" t="s">
        <v>863</v>
      </c>
      <c r="P4" s="210">
        <f>'[1]План меропр_4'!I31</f>
        <v>2027</v>
      </c>
      <c r="Q4" s="208" t="str">
        <f>J4</f>
        <v>тепловые сети</v>
      </c>
      <c r="V4" s="210" t="str">
        <f>'[2]ИНВЕСТ '!B16</f>
        <v>5 этап (рекоснрукция оборудования БМК по истечении СПИ)</v>
      </c>
      <c r="X4" s="210"/>
      <c r="AC4" s="210" t="str">
        <f>'[2]ИНВЕСТ '!B17</f>
        <v>6 этап (рекоснрукция тепловых сетей и сетей гвс в связи с истечением СПИ)</v>
      </c>
      <c r="AE4" s="210"/>
      <c r="AK4" s="213" t="b">
        <f>C7+J7+Q7='[1]План меропр_4'!L24</f>
        <v>0</v>
      </c>
    </row>
    <row r="5" spans="1:37" x14ac:dyDescent="0.2">
      <c r="A5" s="210"/>
      <c r="E5" s="213"/>
      <c r="F5" s="210"/>
      <c r="G5" s="208" t="s">
        <v>864</v>
      </c>
      <c r="H5" s="210"/>
      <c r="P5" s="210"/>
      <c r="X5" s="210"/>
      <c r="AE5" s="210"/>
      <c r="AK5" s="213"/>
    </row>
    <row r="6" spans="1:37" x14ac:dyDescent="0.2">
      <c r="A6" s="516" t="s">
        <v>865</v>
      </c>
      <c r="B6" s="517"/>
      <c r="C6" s="517"/>
      <c r="D6" s="517"/>
      <c r="E6" s="517"/>
      <c r="F6" s="518"/>
      <c r="G6" s="215" t="s">
        <v>866</v>
      </c>
      <c r="H6" s="516" t="s">
        <v>865</v>
      </c>
      <c r="I6" s="517"/>
      <c r="J6" s="517"/>
      <c r="K6" s="517"/>
      <c r="L6" s="517"/>
      <c r="M6" s="518"/>
      <c r="N6" s="215" t="str">
        <f>G6</f>
        <v xml:space="preserve">% </v>
      </c>
      <c r="O6" s="516" t="s">
        <v>865</v>
      </c>
      <c r="P6" s="517"/>
      <c r="Q6" s="517"/>
      <c r="R6" s="517"/>
      <c r="S6" s="517"/>
      <c r="T6" s="518"/>
      <c r="U6" s="215" t="str">
        <f>N6</f>
        <v xml:space="preserve">% </v>
      </c>
      <c r="V6" s="216"/>
      <c r="W6" s="216"/>
      <c r="X6" s="216"/>
      <c r="Y6" s="216"/>
      <c r="Z6" s="216"/>
      <c r="AA6" s="216"/>
      <c r="AB6" s="216" t="str">
        <f>U6</f>
        <v xml:space="preserve">% </v>
      </c>
      <c r="AC6" s="216"/>
      <c r="AD6" s="216"/>
      <c r="AE6" s="216"/>
      <c r="AF6" s="216"/>
      <c r="AG6" s="216"/>
      <c r="AH6" s="216"/>
      <c r="AI6" s="216" t="str">
        <f>AB6</f>
        <v xml:space="preserve">% </v>
      </c>
      <c r="AK6" s="217" t="s">
        <v>867</v>
      </c>
    </row>
    <row r="7" spans="1:37" x14ac:dyDescent="0.2">
      <c r="A7" s="221"/>
      <c r="B7" s="216" t="s">
        <v>868</v>
      </c>
      <c r="C7" s="218">
        <f>'№2 ИП ТС'!R54+'№2 ИП ТС'!R55+'№2 ИП ТС'!R56+'№2 ИП ТС'!R57+'№2 ИП ТС'!R58+'№2 ИП ТС'!R59</f>
        <v>8515.7210000000014</v>
      </c>
      <c r="D7" s="219">
        <f>16%+4%</f>
        <v>0.2</v>
      </c>
      <c r="E7" s="220" t="s">
        <v>869</v>
      </c>
      <c r="F7" s="220"/>
      <c r="G7" s="220"/>
      <c r="H7" s="221"/>
      <c r="I7" s="216" t="s">
        <v>868</v>
      </c>
      <c r="J7" s="222">
        <f>'№2 ИП ТС'!R60</f>
        <v>910.89400000000001</v>
      </c>
      <c r="K7" s="219">
        <f>D7</f>
        <v>0.2</v>
      </c>
      <c r="L7" s="220" t="s">
        <v>869</v>
      </c>
      <c r="M7" s="220"/>
      <c r="N7" s="220"/>
      <c r="O7" s="221"/>
      <c r="P7" s="216" t="s">
        <v>868</v>
      </c>
      <c r="Q7" s="222">
        <f>'№2 ИП ТС'!R104+'№2 ИП ТС'!R105</f>
        <v>786.22833333333335</v>
      </c>
      <c r="R7" s="219">
        <f>K7</f>
        <v>0.2</v>
      </c>
      <c r="S7" s="220" t="s">
        <v>869</v>
      </c>
      <c r="T7" s="220"/>
      <c r="U7" s="220"/>
      <c r="V7" s="223"/>
      <c r="W7" s="224" t="s">
        <v>868</v>
      </c>
      <c r="X7" s="225">
        <f>'[2]ИНВЕСТ '!T11*1.2</f>
        <v>0</v>
      </c>
      <c r="Y7" s="226">
        <f>R7</f>
        <v>0.2</v>
      </c>
      <c r="Z7" s="227" t="s">
        <v>869</v>
      </c>
      <c r="AA7" s="227"/>
      <c r="AB7" s="227"/>
      <c r="AC7" s="223"/>
      <c r="AD7" s="224" t="s">
        <v>868</v>
      </c>
      <c r="AE7" s="225">
        <f>'[2]ИНВЕСТ '!W11*1.2</f>
        <v>0</v>
      </c>
      <c r="AF7" s="226">
        <f>Y7</f>
        <v>0.2</v>
      </c>
      <c r="AG7" s="227" t="s">
        <v>869</v>
      </c>
      <c r="AH7" s="227"/>
      <c r="AI7" s="227"/>
    </row>
    <row r="8" spans="1:37" ht="15" customHeight="1" x14ac:dyDescent="0.2">
      <c r="A8" s="516" t="str">
        <f>'[1]%_1'!A8:B8</f>
        <v>Плата концедента (01.11.2026)</v>
      </c>
      <c r="B8" s="518"/>
      <c r="C8" s="268">
        <f>8246.228/1.2</f>
        <v>6871.8566666666666</v>
      </c>
      <c r="D8" s="229">
        <f>12*10</f>
        <v>120</v>
      </c>
      <c r="E8" s="220" t="s">
        <v>871</v>
      </c>
      <c r="F8" s="220"/>
      <c r="G8" s="220"/>
      <c r="H8" s="230"/>
      <c r="I8" s="216" t="s">
        <v>872</v>
      </c>
      <c r="J8" s="231">
        <v>0</v>
      </c>
      <c r="K8" s="232">
        <f>D8</f>
        <v>120</v>
      </c>
      <c r="L8" s="220" t="s">
        <v>871</v>
      </c>
      <c r="M8" s="220"/>
      <c r="N8" s="220"/>
      <c r="O8" s="230"/>
      <c r="P8" s="216" t="s">
        <v>872</v>
      </c>
      <c r="Q8" s="231">
        <v>0</v>
      </c>
      <c r="R8" s="233">
        <v>120</v>
      </c>
      <c r="S8" s="220" t="s">
        <v>871</v>
      </c>
      <c r="T8" s="220"/>
      <c r="U8" s="220"/>
      <c r="V8" s="230"/>
      <c r="W8" s="216" t="s">
        <v>872</v>
      </c>
      <c r="X8" s="231">
        <v>0</v>
      </c>
      <c r="Y8" s="233">
        <v>120</v>
      </c>
      <c r="Z8" s="220" t="s">
        <v>871</v>
      </c>
      <c r="AA8" s="220"/>
      <c r="AB8" s="220"/>
      <c r="AC8" s="230"/>
      <c r="AD8" s="216" t="s">
        <v>872</v>
      </c>
      <c r="AE8" s="231">
        <v>0</v>
      </c>
      <c r="AF8" s="233">
        <v>120</v>
      </c>
      <c r="AG8" s="220" t="s">
        <v>871</v>
      </c>
      <c r="AH8" s="220"/>
      <c r="AI8" s="220"/>
    </row>
    <row r="9" spans="1:37" x14ac:dyDescent="0.2">
      <c r="A9" s="234" t="s">
        <v>873</v>
      </c>
      <c r="B9" s="220" t="s">
        <v>874</v>
      </c>
      <c r="C9" s="220" t="s">
        <v>875</v>
      </c>
      <c r="D9" s="220" t="s">
        <v>13</v>
      </c>
      <c r="E9" s="220" t="s">
        <v>876</v>
      </c>
      <c r="F9" s="220" t="s">
        <v>877</v>
      </c>
      <c r="G9" s="220"/>
      <c r="H9" s="234" t="s">
        <v>873</v>
      </c>
      <c r="I9" s="220" t="s">
        <v>874</v>
      </c>
      <c r="J9" s="220" t="s">
        <v>875</v>
      </c>
      <c r="K9" s="220" t="s">
        <v>13</v>
      </c>
      <c r="L9" s="220" t="s">
        <v>878</v>
      </c>
      <c r="M9" s="220" t="s">
        <v>877</v>
      </c>
      <c r="N9" s="220"/>
      <c r="O9" s="234" t="s">
        <v>873</v>
      </c>
      <c r="P9" s="220" t="s">
        <v>874</v>
      </c>
      <c r="Q9" s="220" t="s">
        <v>875</v>
      </c>
      <c r="R9" s="220" t="s">
        <v>13</v>
      </c>
      <c r="S9" s="220" t="s">
        <v>878</v>
      </c>
      <c r="T9" s="220" t="s">
        <v>877</v>
      </c>
      <c r="U9" s="220"/>
      <c r="V9" s="234" t="s">
        <v>873</v>
      </c>
      <c r="W9" s="220" t="s">
        <v>874</v>
      </c>
      <c r="X9" s="220" t="s">
        <v>875</v>
      </c>
      <c r="Y9" s="220" t="s">
        <v>13</v>
      </c>
      <c r="Z9" s="220" t="s">
        <v>878</v>
      </c>
      <c r="AA9" s="220" t="s">
        <v>877</v>
      </c>
      <c r="AB9" s="220"/>
      <c r="AC9" s="234" t="s">
        <v>873</v>
      </c>
      <c r="AD9" s="220" t="s">
        <v>874</v>
      </c>
      <c r="AE9" s="220" t="s">
        <v>875</v>
      </c>
      <c r="AF9" s="220" t="s">
        <v>13</v>
      </c>
      <c r="AG9" s="220" t="s">
        <v>878</v>
      </c>
      <c r="AH9" s="220" t="s">
        <v>877</v>
      </c>
      <c r="AI9" s="220"/>
      <c r="AK9" s="208">
        <f>G9+N9+U9</f>
        <v>0</v>
      </c>
    </row>
    <row r="10" spans="1:37" hidden="1" x14ac:dyDescent="0.2">
      <c r="A10" s="512">
        <v>2022</v>
      </c>
      <c r="B10" s="234" t="s">
        <v>225</v>
      </c>
      <c r="C10" s="235"/>
      <c r="D10" s="235"/>
      <c r="E10" s="235"/>
      <c r="F10" s="236">
        <f>D10+E10</f>
        <v>0</v>
      </c>
      <c r="G10" s="237"/>
      <c r="H10" s="513">
        <f>A10</f>
        <v>2022</v>
      </c>
      <c r="I10" s="234" t="s">
        <v>225</v>
      </c>
      <c r="J10" s="235"/>
      <c r="K10" s="235"/>
      <c r="L10" s="235"/>
      <c r="M10" s="236"/>
      <c r="N10" s="236"/>
      <c r="O10" s="512">
        <f>H10</f>
        <v>2022</v>
      </c>
      <c r="P10" s="234" t="s">
        <v>225</v>
      </c>
      <c r="Q10" s="235"/>
      <c r="R10" s="235"/>
      <c r="S10" s="235"/>
      <c r="T10" s="236"/>
      <c r="U10" s="236"/>
      <c r="V10" s="512">
        <v>2021</v>
      </c>
      <c r="W10" s="234" t="s">
        <v>225</v>
      </c>
      <c r="X10" s="235"/>
      <c r="Y10" s="235"/>
      <c r="Z10" s="235"/>
      <c r="AA10" s="236"/>
      <c r="AB10" s="236"/>
      <c r="AC10" s="512">
        <v>2021</v>
      </c>
      <c r="AD10" s="234" t="s">
        <v>225</v>
      </c>
      <c r="AE10" s="235"/>
      <c r="AF10" s="235"/>
      <c r="AG10" s="235"/>
      <c r="AH10" s="236"/>
      <c r="AI10" s="236"/>
    </row>
    <row r="11" spans="1:37" hidden="1" x14ac:dyDescent="0.2">
      <c r="A11" s="512"/>
      <c r="B11" s="234" t="s">
        <v>226</v>
      </c>
      <c r="C11" s="235"/>
      <c r="D11" s="235"/>
      <c r="E11" s="235"/>
      <c r="F11" s="236">
        <f>D11+E11</f>
        <v>0</v>
      </c>
      <c r="G11" s="238"/>
      <c r="H11" s="514"/>
      <c r="I11" s="234" t="s">
        <v>226</v>
      </c>
      <c r="J11" s="235"/>
      <c r="K11" s="235"/>
      <c r="L11" s="235"/>
      <c r="M11" s="236"/>
      <c r="N11" s="236"/>
      <c r="O11" s="512"/>
      <c r="P11" s="234" t="s">
        <v>226</v>
      </c>
      <c r="Q11" s="235"/>
      <c r="R11" s="235"/>
      <c r="S11" s="235"/>
      <c r="T11" s="236"/>
      <c r="U11" s="236"/>
      <c r="V11" s="512"/>
      <c r="W11" s="234" t="s">
        <v>226</v>
      </c>
      <c r="X11" s="235"/>
      <c r="Y11" s="235"/>
      <c r="Z11" s="235"/>
      <c r="AA11" s="236"/>
      <c r="AB11" s="236"/>
      <c r="AC11" s="512"/>
      <c r="AD11" s="234" t="s">
        <v>226</v>
      </c>
      <c r="AE11" s="235"/>
      <c r="AF11" s="235"/>
      <c r="AG11" s="235"/>
      <c r="AH11" s="236"/>
      <c r="AI11" s="236"/>
    </row>
    <row r="12" spans="1:37" hidden="1" x14ac:dyDescent="0.2">
      <c r="A12" s="512"/>
      <c r="B12" s="234" t="s">
        <v>227</v>
      </c>
      <c r="C12" s="235"/>
      <c r="D12" s="235"/>
      <c r="E12" s="235"/>
      <c r="F12" s="236">
        <f t="shared" ref="F12:F75" si="0">D12+E12</f>
        <v>0</v>
      </c>
      <c r="G12" s="238"/>
      <c r="H12" s="514"/>
      <c r="I12" s="234" t="s">
        <v>227</v>
      </c>
      <c r="J12" s="235"/>
      <c r="K12" s="235"/>
      <c r="L12" s="235"/>
      <c r="M12" s="236"/>
      <c r="N12" s="236"/>
      <c r="O12" s="512"/>
      <c r="P12" s="234" t="s">
        <v>227</v>
      </c>
      <c r="Q12" s="235"/>
      <c r="R12" s="235"/>
      <c r="S12" s="235"/>
      <c r="T12" s="236"/>
      <c r="U12" s="236"/>
      <c r="V12" s="512"/>
      <c r="W12" s="234" t="s">
        <v>227</v>
      </c>
      <c r="X12" s="235"/>
      <c r="Y12" s="235"/>
      <c r="Z12" s="235"/>
      <c r="AA12" s="236"/>
      <c r="AB12" s="236"/>
      <c r="AC12" s="512"/>
      <c r="AD12" s="234" t="s">
        <v>227</v>
      </c>
      <c r="AE12" s="235"/>
      <c r="AF12" s="235"/>
      <c r="AG12" s="235"/>
      <c r="AH12" s="236"/>
      <c r="AI12" s="236"/>
    </row>
    <row r="13" spans="1:37" hidden="1" x14ac:dyDescent="0.2">
      <c r="A13" s="512"/>
      <c r="B13" s="234" t="s">
        <v>228</v>
      </c>
      <c r="C13" s="235"/>
      <c r="D13" s="235"/>
      <c r="E13" s="235"/>
      <c r="F13" s="236">
        <f t="shared" si="0"/>
        <v>0</v>
      </c>
      <c r="G13" s="238"/>
      <c r="H13" s="514"/>
      <c r="I13" s="234" t="s">
        <v>228</v>
      </c>
      <c r="J13" s="235"/>
      <c r="K13" s="235"/>
      <c r="L13" s="235"/>
      <c r="M13" s="236"/>
      <c r="N13" s="236"/>
      <c r="O13" s="512"/>
      <c r="P13" s="234" t="s">
        <v>228</v>
      </c>
      <c r="Q13" s="235"/>
      <c r="R13" s="235"/>
      <c r="S13" s="235"/>
      <c r="T13" s="236"/>
      <c r="U13" s="236"/>
      <c r="V13" s="512"/>
      <c r="W13" s="234" t="s">
        <v>228</v>
      </c>
      <c r="X13" s="235"/>
      <c r="Y13" s="235"/>
      <c r="Z13" s="235"/>
      <c r="AA13" s="236"/>
      <c r="AB13" s="236"/>
      <c r="AC13" s="512"/>
      <c r="AD13" s="234" t="s">
        <v>228</v>
      </c>
      <c r="AE13" s="235"/>
      <c r="AF13" s="235"/>
      <c r="AG13" s="235"/>
      <c r="AH13" s="236"/>
      <c r="AI13" s="236"/>
    </row>
    <row r="14" spans="1:37" hidden="1" x14ac:dyDescent="0.2">
      <c r="A14" s="512"/>
      <c r="B14" s="234" t="s">
        <v>229</v>
      </c>
      <c r="C14" s="235"/>
      <c r="D14" s="235"/>
      <c r="E14" s="235"/>
      <c r="F14" s="236">
        <f t="shared" si="0"/>
        <v>0</v>
      </c>
      <c r="G14" s="238"/>
      <c r="H14" s="514"/>
      <c r="I14" s="234" t="s">
        <v>229</v>
      </c>
      <c r="J14" s="235"/>
      <c r="K14" s="235"/>
      <c r="L14" s="235"/>
      <c r="M14" s="236"/>
      <c r="N14" s="236"/>
      <c r="O14" s="512"/>
      <c r="P14" s="234" t="s">
        <v>229</v>
      </c>
      <c r="Q14" s="235"/>
      <c r="R14" s="235"/>
      <c r="S14" s="235"/>
      <c r="T14" s="236"/>
      <c r="U14" s="236"/>
      <c r="V14" s="512"/>
      <c r="W14" s="234" t="s">
        <v>229</v>
      </c>
      <c r="X14" s="235"/>
      <c r="Y14" s="235"/>
      <c r="Z14" s="235"/>
      <c r="AA14" s="236"/>
      <c r="AB14" s="236"/>
      <c r="AC14" s="512"/>
      <c r="AD14" s="234" t="s">
        <v>229</v>
      </c>
      <c r="AE14" s="235"/>
      <c r="AF14" s="235"/>
      <c r="AG14" s="235"/>
      <c r="AH14" s="236"/>
      <c r="AI14" s="236"/>
    </row>
    <row r="15" spans="1:37" hidden="1" x14ac:dyDescent="0.2">
      <c r="A15" s="512"/>
      <c r="B15" s="234" t="s">
        <v>230</v>
      </c>
      <c r="C15" s="235"/>
      <c r="D15" s="235"/>
      <c r="E15" s="235"/>
      <c r="F15" s="236">
        <f t="shared" si="0"/>
        <v>0</v>
      </c>
      <c r="G15" s="238"/>
      <c r="H15" s="514"/>
      <c r="I15" s="234" t="s">
        <v>230</v>
      </c>
      <c r="J15" s="235"/>
      <c r="K15" s="235"/>
      <c r="L15" s="235"/>
      <c r="M15" s="236"/>
      <c r="N15" s="236"/>
      <c r="O15" s="512"/>
      <c r="P15" s="234" t="s">
        <v>230</v>
      </c>
      <c r="Q15" s="235"/>
      <c r="R15" s="235"/>
      <c r="S15" s="235"/>
      <c r="T15" s="236"/>
      <c r="U15" s="236"/>
      <c r="V15" s="512"/>
      <c r="W15" s="234" t="s">
        <v>230</v>
      </c>
      <c r="X15" s="235"/>
      <c r="Y15" s="235"/>
      <c r="Z15" s="235"/>
      <c r="AA15" s="236"/>
      <c r="AB15" s="236"/>
      <c r="AC15" s="512"/>
      <c r="AD15" s="234" t="s">
        <v>230</v>
      </c>
      <c r="AE15" s="235"/>
      <c r="AF15" s="235"/>
      <c r="AG15" s="235"/>
      <c r="AH15" s="236"/>
      <c r="AI15" s="236"/>
    </row>
    <row r="16" spans="1:37" hidden="1" x14ac:dyDescent="0.2">
      <c r="A16" s="512"/>
      <c r="B16" s="234" t="s">
        <v>231</v>
      </c>
      <c r="C16" s="235"/>
      <c r="D16" s="235"/>
      <c r="E16" s="235"/>
      <c r="F16" s="236">
        <f t="shared" si="0"/>
        <v>0</v>
      </c>
      <c r="G16" s="238"/>
      <c r="H16" s="514"/>
      <c r="I16" s="234" t="s">
        <v>231</v>
      </c>
      <c r="J16" s="235"/>
      <c r="K16" s="235"/>
      <c r="L16" s="235"/>
      <c r="M16" s="236"/>
      <c r="N16" s="236"/>
      <c r="O16" s="512"/>
      <c r="P16" s="234" t="s">
        <v>231</v>
      </c>
      <c r="Q16" s="235"/>
      <c r="R16" s="235"/>
      <c r="S16" s="235"/>
      <c r="T16" s="236"/>
      <c r="U16" s="236"/>
      <c r="V16" s="512"/>
      <c r="W16" s="234" t="s">
        <v>231</v>
      </c>
      <c r="X16" s="235"/>
      <c r="Y16" s="235"/>
      <c r="Z16" s="235"/>
      <c r="AA16" s="236"/>
      <c r="AB16" s="236"/>
      <c r="AC16" s="512"/>
      <c r="AD16" s="234" t="s">
        <v>231</v>
      </c>
      <c r="AE16" s="235"/>
      <c r="AF16" s="235"/>
      <c r="AG16" s="235"/>
      <c r="AH16" s="236"/>
      <c r="AI16" s="236"/>
    </row>
    <row r="17" spans="1:37" hidden="1" x14ac:dyDescent="0.2">
      <c r="A17" s="512"/>
      <c r="B17" s="234" t="s">
        <v>232</v>
      </c>
      <c r="C17" s="235"/>
      <c r="D17" s="235"/>
      <c r="E17" s="235"/>
      <c r="F17" s="236">
        <f t="shared" si="0"/>
        <v>0</v>
      </c>
      <c r="G17" s="238"/>
      <c r="H17" s="514"/>
      <c r="I17" s="234" t="s">
        <v>232</v>
      </c>
      <c r="J17" s="235"/>
      <c r="K17" s="235"/>
      <c r="L17" s="235"/>
      <c r="M17" s="236"/>
      <c r="N17" s="236"/>
      <c r="O17" s="512"/>
      <c r="P17" s="234" t="s">
        <v>232</v>
      </c>
      <c r="Q17" s="235"/>
      <c r="R17" s="235"/>
      <c r="S17" s="235"/>
      <c r="T17" s="236"/>
      <c r="U17" s="236"/>
      <c r="V17" s="512"/>
      <c r="W17" s="234" t="s">
        <v>232</v>
      </c>
      <c r="X17" s="235"/>
      <c r="Y17" s="235"/>
      <c r="Z17" s="235"/>
      <c r="AA17" s="236"/>
      <c r="AB17" s="236"/>
      <c r="AC17" s="512"/>
      <c r="AD17" s="234" t="s">
        <v>232</v>
      </c>
      <c r="AE17" s="235"/>
      <c r="AF17" s="235"/>
      <c r="AG17" s="235"/>
      <c r="AH17" s="236"/>
      <c r="AI17" s="236"/>
    </row>
    <row r="18" spans="1:37" hidden="1" x14ac:dyDescent="0.2">
      <c r="A18" s="512"/>
      <c r="B18" s="234" t="s">
        <v>233</v>
      </c>
      <c r="C18" s="235"/>
      <c r="D18" s="235"/>
      <c r="E18" s="235"/>
      <c r="F18" s="236">
        <f t="shared" si="0"/>
        <v>0</v>
      </c>
      <c r="G18" s="238"/>
      <c r="H18" s="514"/>
      <c r="I18" s="234" t="s">
        <v>233</v>
      </c>
      <c r="J18" s="235"/>
      <c r="K18" s="235"/>
      <c r="L18" s="235"/>
      <c r="M18" s="236"/>
      <c r="N18" s="236"/>
      <c r="O18" s="512"/>
      <c r="P18" s="234" t="s">
        <v>233</v>
      </c>
      <c r="Q18" s="235"/>
      <c r="R18" s="235"/>
      <c r="S18" s="235"/>
      <c r="T18" s="236"/>
      <c r="U18" s="236"/>
      <c r="V18" s="512"/>
      <c r="W18" s="234" t="s">
        <v>233</v>
      </c>
      <c r="X18" s="235"/>
      <c r="Y18" s="235"/>
      <c r="Z18" s="235"/>
      <c r="AA18" s="236"/>
      <c r="AB18" s="236"/>
      <c r="AC18" s="512"/>
      <c r="AD18" s="234" t="s">
        <v>233</v>
      </c>
      <c r="AE18" s="235"/>
      <c r="AF18" s="235"/>
      <c r="AG18" s="235"/>
      <c r="AH18" s="236"/>
      <c r="AI18" s="236"/>
    </row>
    <row r="19" spans="1:37" hidden="1" x14ac:dyDescent="0.2">
      <c r="A19" s="512"/>
      <c r="B19" s="234" t="s">
        <v>234</v>
      </c>
      <c r="C19" s="235"/>
      <c r="D19" s="235"/>
      <c r="E19" s="235"/>
      <c r="F19" s="236">
        <f t="shared" si="0"/>
        <v>0</v>
      </c>
      <c r="G19" s="238"/>
      <c r="H19" s="514"/>
      <c r="I19" s="234" t="s">
        <v>234</v>
      </c>
      <c r="J19" s="235"/>
      <c r="K19" s="235"/>
      <c r="L19" s="235"/>
      <c r="M19" s="236"/>
      <c r="N19" s="236"/>
      <c r="O19" s="512"/>
      <c r="P19" s="234" t="s">
        <v>234</v>
      </c>
      <c r="Q19" s="235"/>
      <c r="R19" s="235"/>
      <c r="S19" s="235"/>
      <c r="T19" s="236"/>
      <c r="U19" s="236"/>
      <c r="V19" s="512"/>
      <c r="W19" s="234" t="s">
        <v>234</v>
      </c>
      <c r="X19" s="235"/>
      <c r="Y19" s="235"/>
      <c r="Z19" s="235"/>
      <c r="AA19" s="236"/>
      <c r="AB19" s="236"/>
      <c r="AC19" s="512"/>
      <c r="AD19" s="234" t="s">
        <v>234</v>
      </c>
      <c r="AE19" s="235"/>
      <c r="AF19" s="235"/>
      <c r="AG19" s="235"/>
      <c r="AH19" s="236"/>
      <c r="AI19" s="236"/>
    </row>
    <row r="20" spans="1:37" hidden="1" x14ac:dyDescent="0.2">
      <c r="A20" s="512"/>
      <c r="B20" s="234" t="s">
        <v>235</v>
      </c>
      <c r="C20" s="235"/>
      <c r="D20" s="235"/>
      <c r="E20" s="235"/>
      <c r="F20" s="236">
        <f t="shared" si="0"/>
        <v>0</v>
      </c>
      <c r="G20" s="238"/>
      <c r="H20" s="514"/>
      <c r="I20" s="234" t="s">
        <v>235</v>
      </c>
      <c r="J20" s="235"/>
      <c r="K20" s="235"/>
      <c r="L20" s="235"/>
      <c r="M20" s="236"/>
      <c r="N20" s="236"/>
      <c r="O20" s="512"/>
      <c r="P20" s="234" t="s">
        <v>235</v>
      </c>
      <c r="Q20" s="235"/>
      <c r="R20" s="235"/>
      <c r="S20" s="235"/>
      <c r="T20" s="236"/>
      <c r="U20" s="236"/>
      <c r="V20" s="512"/>
      <c r="W20" s="234" t="s">
        <v>235</v>
      </c>
      <c r="X20" s="235"/>
      <c r="Y20" s="235"/>
      <c r="Z20" s="235"/>
      <c r="AA20" s="236"/>
      <c r="AB20" s="236"/>
      <c r="AC20" s="512"/>
      <c r="AD20" s="234" t="s">
        <v>235</v>
      </c>
      <c r="AE20" s="235"/>
      <c r="AF20" s="235"/>
      <c r="AG20" s="235"/>
      <c r="AH20" s="236"/>
      <c r="AI20" s="236"/>
    </row>
    <row r="21" spans="1:37" hidden="1" x14ac:dyDescent="0.2">
      <c r="A21" s="512"/>
      <c r="B21" s="234" t="s">
        <v>236</v>
      </c>
      <c r="C21" s="235"/>
      <c r="D21" s="235"/>
      <c r="E21" s="235"/>
      <c r="F21" s="236">
        <f t="shared" si="0"/>
        <v>0</v>
      </c>
      <c r="G21" s="239">
        <f>SUM(D10:D21)</f>
        <v>0</v>
      </c>
      <c r="H21" s="515"/>
      <c r="I21" s="234" t="s">
        <v>236</v>
      </c>
      <c r="J21" s="235"/>
      <c r="K21" s="235"/>
      <c r="L21" s="235"/>
      <c r="M21" s="236"/>
      <c r="N21" s="236"/>
      <c r="O21" s="512"/>
      <c r="P21" s="234" t="s">
        <v>236</v>
      </c>
      <c r="Q21" s="235"/>
      <c r="R21" s="235"/>
      <c r="S21" s="235"/>
      <c r="T21" s="236"/>
      <c r="U21" s="236"/>
      <c r="V21" s="512"/>
      <c r="W21" s="234" t="s">
        <v>236</v>
      </c>
      <c r="X21" s="235"/>
      <c r="Y21" s="235"/>
      <c r="Z21" s="235"/>
      <c r="AA21" s="236"/>
      <c r="AB21" s="236"/>
      <c r="AC21" s="512"/>
      <c r="AD21" s="234" t="s">
        <v>236</v>
      </c>
      <c r="AE21" s="235"/>
      <c r="AF21" s="235"/>
      <c r="AG21" s="235"/>
      <c r="AH21" s="236"/>
      <c r="AI21" s="236"/>
      <c r="AJ21" s="208">
        <f>A10</f>
        <v>2022</v>
      </c>
      <c r="AK21" s="240">
        <f>G21+N21+U21</f>
        <v>0</v>
      </c>
    </row>
    <row r="22" spans="1:37" hidden="1" x14ac:dyDescent="0.2">
      <c r="A22" s="512">
        <v>2023</v>
      </c>
      <c r="B22" s="234" t="s">
        <v>225</v>
      </c>
      <c r="C22" s="235"/>
      <c r="D22" s="235"/>
      <c r="E22" s="235"/>
      <c r="F22" s="236">
        <f t="shared" si="0"/>
        <v>0</v>
      </c>
      <c r="G22" s="237"/>
      <c r="H22" s="513">
        <f>H10+1</f>
        <v>2023</v>
      </c>
      <c r="I22" s="234" t="s">
        <v>225</v>
      </c>
      <c r="J22" s="235"/>
      <c r="K22" s="235"/>
      <c r="L22" s="235"/>
      <c r="M22" s="236">
        <f>K22+L22</f>
        <v>0</v>
      </c>
      <c r="N22" s="236"/>
      <c r="O22" s="512">
        <f>O10+1</f>
        <v>2023</v>
      </c>
      <c r="P22" s="234" t="s">
        <v>225</v>
      </c>
      <c r="Q22" s="235"/>
      <c r="R22" s="235"/>
      <c r="S22" s="235"/>
      <c r="T22" s="236"/>
      <c r="U22" s="236"/>
      <c r="V22" s="512">
        <f>V10+1</f>
        <v>2022</v>
      </c>
      <c r="W22" s="234" t="s">
        <v>225</v>
      </c>
      <c r="X22" s="235"/>
      <c r="Y22" s="235"/>
      <c r="Z22" s="235"/>
      <c r="AA22" s="236"/>
      <c r="AB22" s="236"/>
      <c r="AC22" s="512">
        <f>AC10+1</f>
        <v>2022</v>
      </c>
      <c r="AD22" s="234" t="s">
        <v>225</v>
      </c>
      <c r="AE22" s="235"/>
      <c r="AF22" s="235"/>
      <c r="AG22" s="235"/>
      <c r="AH22" s="236"/>
      <c r="AI22" s="236"/>
      <c r="AK22" s="240"/>
    </row>
    <row r="23" spans="1:37" hidden="1" x14ac:dyDescent="0.2">
      <c r="A23" s="512"/>
      <c r="B23" s="234" t="s">
        <v>226</v>
      </c>
      <c r="C23" s="235"/>
      <c r="D23" s="235"/>
      <c r="E23" s="235"/>
      <c r="F23" s="236">
        <f t="shared" si="0"/>
        <v>0</v>
      </c>
      <c r="G23" s="238"/>
      <c r="H23" s="514"/>
      <c r="I23" s="234" t="s">
        <v>226</v>
      </c>
      <c r="J23" s="235"/>
      <c r="K23" s="235"/>
      <c r="L23" s="235"/>
      <c r="M23" s="236">
        <f t="shared" ref="M23:M86" si="1">K23+L23</f>
        <v>0</v>
      </c>
      <c r="N23" s="236"/>
      <c r="O23" s="512"/>
      <c r="P23" s="234" t="s">
        <v>226</v>
      </c>
      <c r="Q23" s="235"/>
      <c r="R23" s="235"/>
      <c r="S23" s="235"/>
      <c r="T23" s="236"/>
      <c r="U23" s="236"/>
      <c r="V23" s="512"/>
      <c r="W23" s="234" t="s">
        <v>226</v>
      </c>
      <c r="X23" s="235"/>
      <c r="Y23" s="235"/>
      <c r="Z23" s="235"/>
      <c r="AA23" s="236"/>
      <c r="AB23" s="236"/>
      <c r="AC23" s="512"/>
      <c r="AD23" s="234" t="s">
        <v>226</v>
      </c>
      <c r="AE23" s="235"/>
      <c r="AF23" s="235"/>
      <c r="AG23" s="235"/>
      <c r="AH23" s="236"/>
      <c r="AI23" s="236"/>
      <c r="AK23" s="240"/>
    </row>
    <row r="24" spans="1:37" hidden="1" x14ac:dyDescent="0.2">
      <c r="A24" s="512"/>
      <c r="B24" s="234" t="s">
        <v>227</v>
      </c>
      <c r="C24" s="235"/>
      <c r="D24" s="235"/>
      <c r="E24" s="235"/>
      <c r="F24" s="236">
        <f t="shared" si="0"/>
        <v>0</v>
      </c>
      <c r="G24" s="238"/>
      <c r="H24" s="514"/>
      <c r="I24" s="234" t="s">
        <v>227</v>
      </c>
      <c r="J24" s="235"/>
      <c r="K24" s="235"/>
      <c r="L24" s="235"/>
      <c r="M24" s="236">
        <f t="shared" si="1"/>
        <v>0</v>
      </c>
      <c r="N24" s="236"/>
      <c r="O24" s="512"/>
      <c r="P24" s="234" t="s">
        <v>227</v>
      </c>
      <c r="Q24" s="235"/>
      <c r="R24" s="235"/>
      <c r="S24" s="235"/>
      <c r="T24" s="236"/>
      <c r="U24" s="236"/>
      <c r="V24" s="512"/>
      <c r="W24" s="234" t="s">
        <v>227</v>
      </c>
      <c r="X24" s="235"/>
      <c r="Y24" s="235"/>
      <c r="Z24" s="235"/>
      <c r="AA24" s="236"/>
      <c r="AB24" s="236"/>
      <c r="AC24" s="512"/>
      <c r="AD24" s="234" t="s">
        <v>227</v>
      </c>
      <c r="AE24" s="235"/>
      <c r="AF24" s="235"/>
      <c r="AG24" s="235"/>
      <c r="AH24" s="236"/>
      <c r="AI24" s="236"/>
      <c r="AK24" s="240"/>
    </row>
    <row r="25" spans="1:37" hidden="1" x14ac:dyDescent="0.2">
      <c r="A25" s="512"/>
      <c r="B25" s="234" t="s">
        <v>228</v>
      </c>
      <c r="C25" s="235"/>
      <c r="D25" s="235"/>
      <c r="E25" s="235"/>
      <c r="F25" s="236">
        <f t="shared" si="0"/>
        <v>0</v>
      </c>
      <c r="G25" s="238"/>
      <c r="H25" s="514"/>
      <c r="I25" s="234" t="s">
        <v>228</v>
      </c>
      <c r="J25" s="235"/>
      <c r="K25" s="235"/>
      <c r="L25" s="235"/>
      <c r="M25" s="236">
        <f t="shared" si="1"/>
        <v>0</v>
      </c>
      <c r="N25" s="236"/>
      <c r="O25" s="512"/>
      <c r="P25" s="234" t="s">
        <v>228</v>
      </c>
      <c r="Q25" s="235"/>
      <c r="R25" s="235"/>
      <c r="S25" s="235"/>
      <c r="T25" s="236"/>
      <c r="U25" s="236"/>
      <c r="V25" s="512"/>
      <c r="W25" s="234" t="s">
        <v>228</v>
      </c>
      <c r="X25" s="235"/>
      <c r="Y25" s="235"/>
      <c r="Z25" s="235"/>
      <c r="AA25" s="236"/>
      <c r="AB25" s="236"/>
      <c r="AC25" s="512"/>
      <c r="AD25" s="234" t="s">
        <v>228</v>
      </c>
      <c r="AE25" s="235"/>
      <c r="AF25" s="235"/>
      <c r="AG25" s="235"/>
      <c r="AH25" s="236"/>
      <c r="AI25" s="236"/>
      <c r="AK25" s="240"/>
    </row>
    <row r="26" spans="1:37" hidden="1" x14ac:dyDescent="0.2">
      <c r="A26" s="512"/>
      <c r="B26" s="234" t="s">
        <v>229</v>
      </c>
      <c r="C26" s="235"/>
      <c r="D26" s="235"/>
      <c r="E26" s="235"/>
      <c r="F26" s="236">
        <f t="shared" si="0"/>
        <v>0</v>
      </c>
      <c r="G26" s="238"/>
      <c r="H26" s="514"/>
      <c r="I26" s="234" t="s">
        <v>229</v>
      </c>
      <c r="J26" s="235"/>
      <c r="K26" s="235"/>
      <c r="L26" s="235"/>
      <c r="M26" s="236">
        <f t="shared" si="1"/>
        <v>0</v>
      </c>
      <c r="N26" s="236"/>
      <c r="O26" s="512"/>
      <c r="P26" s="234" t="s">
        <v>229</v>
      </c>
      <c r="Q26" s="235"/>
      <c r="R26" s="235"/>
      <c r="S26" s="235"/>
      <c r="T26" s="236"/>
      <c r="U26" s="236"/>
      <c r="V26" s="512"/>
      <c r="W26" s="234" t="s">
        <v>229</v>
      </c>
      <c r="X26" s="235"/>
      <c r="Y26" s="235"/>
      <c r="Z26" s="235"/>
      <c r="AA26" s="236"/>
      <c r="AB26" s="236"/>
      <c r="AC26" s="512"/>
      <c r="AD26" s="234" t="s">
        <v>229</v>
      </c>
      <c r="AE26" s="235"/>
      <c r="AF26" s="235"/>
      <c r="AG26" s="235"/>
      <c r="AH26" s="236"/>
      <c r="AI26" s="236"/>
      <c r="AK26" s="240"/>
    </row>
    <row r="27" spans="1:37" hidden="1" x14ac:dyDescent="0.2">
      <c r="A27" s="512"/>
      <c r="B27" s="234" t="s">
        <v>230</v>
      </c>
      <c r="C27" s="235"/>
      <c r="D27" s="235"/>
      <c r="E27" s="235"/>
      <c r="F27" s="236">
        <f t="shared" si="0"/>
        <v>0</v>
      </c>
      <c r="G27" s="238"/>
      <c r="H27" s="514"/>
      <c r="I27" s="234" t="s">
        <v>230</v>
      </c>
      <c r="J27" s="235"/>
      <c r="K27" s="235"/>
      <c r="L27" s="235"/>
      <c r="M27" s="236">
        <f t="shared" si="1"/>
        <v>0</v>
      </c>
      <c r="N27" s="236"/>
      <c r="O27" s="512"/>
      <c r="P27" s="234" t="s">
        <v>230</v>
      </c>
      <c r="Q27" s="235"/>
      <c r="R27" s="235"/>
      <c r="S27" s="235"/>
      <c r="T27" s="236"/>
      <c r="U27" s="236"/>
      <c r="V27" s="512"/>
      <c r="W27" s="234" t="s">
        <v>230</v>
      </c>
      <c r="X27" s="235"/>
      <c r="Y27" s="235"/>
      <c r="Z27" s="235"/>
      <c r="AA27" s="236"/>
      <c r="AB27" s="236"/>
      <c r="AC27" s="512"/>
      <c r="AD27" s="234" t="s">
        <v>230</v>
      </c>
      <c r="AE27" s="235"/>
      <c r="AF27" s="235"/>
      <c r="AG27" s="235"/>
      <c r="AH27" s="236"/>
      <c r="AI27" s="236"/>
      <c r="AK27" s="240"/>
    </row>
    <row r="28" spans="1:37" hidden="1" x14ac:dyDescent="0.2">
      <c r="A28" s="512"/>
      <c r="B28" s="234" t="s">
        <v>231</v>
      </c>
      <c r="C28" s="235"/>
      <c r="D28" s="235"/>
      <c r="E28" s="235"/>
      <c r="F28" s="236">
        <f t="shared" si="0"/>
        <v>0</v>
      </c>
      <c r="G28" s="238"/>
      <c r="H28" s="514"/>
      <c r="I28" s="234" t="s">
        <v>231</v>
      </c>
      <c r="J28" s="235"/>
      <c r="K28" s="235"/>
      <c r="L28" s="235"/>
      <c r="M28" s="236">
        <f t="shared" si="1"/>
        <v>0</v>
      </c>
      <c r="N28" s="236"/>
      <c r="O28" s="512"/>
      <c r="P28" s="234" t="s">
        <v>231</v>
      </c>
      <c r="Q28" s="235"/>
      <c r="R28" s="235"/>
      <c r="S28" s="235"/>
      <c r="T28" s="236"/>
      <c r="U28" s="236"/>
      <c r="V28" s="512"/>
      <c r="W28" s="234" t="s">
        <v>231</v>
      </c>
      <c r="X28" s="235"/>
      <c r="Y28" s="235"/>
      <c r="Z28" s="235"/>
      <c r="AA28" s="236"/>
      <c r="AB28" s="236"/>
      <c r="AC28" s="512"/>
      <c r="AD28" s="234" t="s">
        <v>231</v>
      </c>
      <c r="AE28" s="235"/>
      <c r="AF28" s="235"/>
      <c r="AG28" s="235"/>
      <c r="AH28" s="236"/>
      <c r="AI28" s="236"/>
      <c r="AK28" s="240"/>
    </row>
    <row r="29" spans="1:37" hidden="1" x14ac:dyDescent="0.2">
      <c r="A29" s="512"/>
      <c r="B29" s="234" t="s">
        <v>232</v>
      </c>
      <c r="C29" s="235"/>
      <c r="D29" s="235"/>
      <c r="E29" s="235"/>
      <c r="F29" s="236">
        <f t="shared" si="0"/>
        <v>0</v>
      </c>
      <c r="G29" s="238"/>
      <c r="H29" s="514"/>
      <c r="I29" s="234" t="s">
        <v>232</v>
      </c>
      <c r="J29" s="235"/>
      <c r="K29" s="235"/>
      <c r="L29" s="235"/>
      <c r="M29" s="236">
        <f t="shared" si="1"/>
        <v>0</v>
      </c>
      <c r="N29" s="236"/>
      <c r="O29" s="512"/>
      <c r="P29" s="234" t="s">
        <v>232</v>
      </c>
      <c r="Q29" s="235"/>
      <c r="R29" s="235"/>
      <c r="S29" s="235"/>
      <c r="T29" s="236"/>
      <c r="U29" s="236"/>
      <c r="V29" s="512"/>
      <c r="W29" s="234" t="s">
        <v>232</v>
      </c>
      <c r="X29" s="235"/>
      <c r="Y29" s="235"/>
      <c r="Z29" s="235"/>
      <c r="AA29" s="236"/>
      <c r="AB29" s="236"/>
      <c r="AC29" s="512"/>
      <c r="AD29" s="234" t="s">
        <v>232</v>
      </c>
      <c r="AE29" s="235"/>
      <c r="AF29" s="235"/>
      <c r="AG29" s="235"/>
      <c r="AH29" s="236"/>
      <c r="AI29" s="236"/>
      <c r="AK29" s="240"/>
    </row>
    <row r="30" spans="1:37" hidden="1" x14ac:dyDescent="0.2">
      <c r="A30" s="512"/>
      <c r="B30" s="234" t="s">
        <v>233</v>
      </c>
      <c r="C30" s="235"/>
      <c r="D30" s="235"/>
      <c r="E30" s="235"/>
      <c r="F30" s="236">
        <f t="shared" si="0"/>
        <v>0</v>
      </c>
      <c r="G30" s="238"/>
      <c r="H30" s="514"/>
      <c r="I30" s="234" t="s">
        <v>233</v>
      </c>
      <c r="J30" s="235"/>
      <c r="K30" s="235"/>
      <c r="L30" s="235"/>
      <c r="M30" s="236">
        <f t="shared" si="1"/>
        <v>0</v>
      </c>
      <c r="N30" s="236"/>
      <c r="O30" s="512"/>
      <c r="P30" s="234" t="s">
        <v>233</v>
      </c>
      <c r="Q30" s="235"/>
      <c r="R30" s="235"/>
      <c r="S30" s="235"/>
      <c r="T30" s="236"/>
      <c r="U30" s="236"/>
      <c r="V30" s="512"/>
      <c r="W30" s="234" t="s">
        <v>233</v>
      </c>
      <c r="X30" s="235"/>
      <c r="Y30" s="235"/>
      <c r="Z30" s="235"/>
      <c r="AA30" s="236"/>
      <c r="AB30" s="236"/>
      <c r="AC30" s="512"/>
      <c r="AD30" s="234" t="s">
        <v>233</v>
      </c>
      <c r="AE30" s="235"/>
      <c r="AF30" s="235"/>
      <c r="AG30" s="235"/>
      <c r="AH30" s="236"/>
      <c r="AI30" s="236"/>
      <c r="AK30" s="240"/>
    </row>
    <row r="31" spans="1:37" hidden="1" x14ac:dyDescent="0.2">
      <c r="A31" s="512"/>
      <c r="B31" s="234" t="s">
        <v>234</v>
      </c>
      <c r="C31" s="235"/>
      <c r="D31" s="235"/>
      <c r="E31" s="235"/>
      <c r="F31" s="236">
        <f t="shared" si="0"/>
        <v>0</v>
      </c>
      <c r="G31" s="238"/>
      <c r="H31" s="514"/>
      <c r="I31" s="234" t="s">
        <v>234</v>
      </c>
      <c r="J31" s="235"/>
      <c r="K31" s="235"/>
      <c r="L31" s="235"/>
      <c r="M31" s="236">
        <f t="shared" si="1"/>
        <v>0</v>
      </c>
      <c r="N31" s="236"/>
      <c r="O31" s="512"/>
      <c r="P31" s="234" t="s">
        <v>234</v>
      </c>
      <c r="Q31" s="235"/>
      <c r="R31" s="235"/>
      <c r="S31" s="235"/>
      <c r="T31" s="236"/>
      <c r="U31" s="236"/>
      <c r="V31" s="512"/>
      <c r="W31" s="234" t="s">
        <v>234</v>
      </c>
      <c r="X31" s="235"/>
      <c r="Y31" s="235"/>
      <c r="Z31" s="235"/>
      <c r="AA31" s="236"/>
      <c r="AB31" s="236"/>
      <c r="AC31" s="512"/>
      <c r="AD31" s="234" t="s">
        <v>234</v>
      </c>
      <c r="AE31" s="235"/>
      <c r="AF31" s="235"/>
      <c r="AG31" s="235"/>
      <c r="AH31" s="236"/>
      <c r="AI31" s="236"/>
      <c r="AK31" s="240"/>
    </row>
    <row r="32" spans="1:37" hidden="1" x14ac:dyDescent="0.2">
      <c r="A32" s="512"/>
      <c r="B32" s="234" t="s">
        <v>235</v>
      </c>
      <c r="C32" s="235"/>
      <c r="D32" s="235"/>
      <c r="E32" s="235"/>
      <c r="F32" s="236">
        <f t="shared" si="0"/>
        <v>0</v>
      </c>
      <c r="G32" s="238"/>
      <c r="H32" s="514"/>
      <c r="I32" s="234" t="s">
        <v>235</v>
      </c>
      <c r="J32" s="235"/>
      <c r="K32" s="235"/>
      <c r="L32" s="235"/>
      <c r="M32" s="236">
        <f t="shared" si="1"/>
        <v>0</v>
      </c>
      <c r="N32" s="236"/>
      <c r="O32" s="512"/>
      <c r="P32" s="234" t="s">
        <v>235</v>
      </c>
      <c r="Q32" s="235"/>
      <c r="R32" s="235"/>
      <c r="S32" s="235"/>
      <c r="T32" s="236"/>
      <c r="U32" s="236"/>
      <c r="V32" s="512"/>
      <c r="W32" s="234" t="s">
        <v>235</v>
      </c>
      <c r="X32" s="235"/>
      <c r="Y32" s="235"/>
      <c r="Z32" s="235"/>
      <c r="AA32" s="236"/>
      <c r="AB32" s="236"/>
      <c r="AC32" s="512"/>
      <c r="AD32" s="234" t="s">
        <v>235</v>
      </c>
      <c r="AE32" s="235"/>
      <c r="AF32" s="235"/>
      <c r="AG32" s="235"/>
      <c r="AH32" s="236"/>
      <c r="AI32" s="236"/>
      <c r="AK32" s="240"/>
    </row>
    <row r="33" spans="1:37" hidden="1" x14ac:dyDescent="0.2">
      <c r="A33" s="512"/>
      <c r="B33" s="234" t="s">
        <v>236</v>
      </c>
      <c r="C33" s="235"/>
      <c r="D33" s="235"/>
      <c r="E33" s="235"/>
      <c r="F33" s="236">
        <f t="shared" si="0"/>
        <v>0</v>
      </c>
      <c r="G33" s="239">
        <f>SUM(D22:D33)</f>
        <v>0</v>
      </c>
      <c r="H33" s="515"/>
      <c r="I33" s="234" t="s">
        <v>236</v>
      </c>
      <c r="J33" s="235"/>
      <c r="K33" s="235"/>
      <c r="L33" s="235"/>
      <c r="M33" s="236">
        <f t="shared" si="1"/>
        <v>0</v>
      </c>
      <c r="N33" s="239">
        <f>SUM(K22:K33)</f>
        <v>0</v>
      </c>
      <c r="O33" s="512"/>
      <c r="P33" s="234" t="s">
        <v>236</v>
      </c>
      <c r="Q33" s="235"/>
      <c r="R33" s="235"/>
      <c r="S33" s="235"/>
      <c r="T33" s="236"/>
      <c r="U33" s="236"/>
      <c r="V33" s="512"/>
      <c r="W33" s="234" t="s">
        <v>236</v>
      </c>
      <c r="X33" s="235"/>
      <c r="Y33" s="235"/>
      <c r="Z33" s="235"/>
      <c r="AA33" s="236"/>
      <c r="AB33" s="236"/>
      <c r="AC33" s="512"/>
      <c r="AD33" s="234" t="s">
        <v>236</v>
      </c>
      <c r="AE33" s="235"/>
      <c r="AF33" s="235"/>
      <c r="AG33" s="235"/>
      <c r="AH33" s="236"/>
      <c r="AI33" s="236"/>
      <c r="AJ33" s="208">
        <f>AJ21+1</f>
        <v>2023</v>
      </c>
      <c r="AK33" s="240">
        <f>G33+N33+U33+AB33+AI33</f>
        <v>0</v>
      </c>
    </row>
    <row r="34" spans="1:37" hidden="1" x14ac:dyDescent="0.2">
      <c r="A34" s="512">
        <f>A22+1</f>
        <v>2024</v>
      </c>
      <c r="B34" s="234" t="s">
        <v>225</v>
      </c>
      <c r="C34" s="235"/>
      <c r="D34" s="235"/>
      <c r="E34" s="235"/>
      <c r="F34" s="236">
        <f t="shared" si="0"/>
        <v>0</v>
      </c>
      <c r="G34" s="237"/>
      <c r="H34" s="513">
        <f>H22+1</f>
        <v>2024</v>
      </c>
      <c r="I34" s="234" t="s">
        <v>225</v>
      </c>
      <c r="J34" s="235"/>
      <c r="K34" s="235"/>
      <c r="L34" s="235"/>
      <c r="M34" s="236">
        <f t="shared" si="1"/>
        <v>0</v>
      </c>
      <c r="N34" s="236"/>
      <c r="O34" s="512">
        <f>O22+1</f>
        <v>2024</v>
      </c>
      <c r="P34" s="234" t="s">
        <v>225</v>
      </c>
      <c r="Q34" s="235"/>
      <c r="R34" s="235"/>
      <c r="S34" s="235"/>
      <c r="T34" s="236">
        <f>R34+S34</f>
        <v>0</v>
      </c>
      <c r="U34" s="236"/>
      <c r="V34" s="512">
        <f>V22+1</f>
        <v>2023</v>
      </c>
      <c r="W34" s="234" t="s">
        <v>225</v>
      </c>
      <c r="X34" s="235"/>
      <c r="Y34" s="235">
        <f>X34*$D$7/12</f>
        <v>0</v>
      </c>
      <c r="Z34" s="235"/>
      <c r="AA34" s="236">
        <f>Y34+Z34</f>
        <v>0</v>
      </c>
      <c r="AB34" s="236"/>
      <c r="AC34" s="512">
        <f>AC22+1</f>
        <v>2023</v>
      </c>
      <c r="AD34" s="234" t="s">
        <v>225</v>
      </c>
      <c r="AE34" s="235"/>
      <c r="AF34" s="235">
        <f>AE34*$D$7/12</f>
        <v>0</v>
      </c>
      <c r="AG34" s="235"/>
      <c r="AH34" s="236">
        <f>AF34+AG34</f>
        <v>0</v>
      </c>
      <c r="AI34" s="236"/>
      <c r="AK34" s="240"/>
    </row>
    <row r="35" spans="1:37" hidden="1" x14ac:dyDescent="0.2">
      <c r="A35" s="512"/>
      <c r="B35" s="234" t="s">
        <v>226</v>
      </c>
      <c r="C35" s="235"/>
      <c r="D35" s="235"/>
      <c r="E35" s="235"/>
      <c r="F35" s="236">
        <f t="shared" si="0"/>
        <v>0</v>
      </c>
      <c r="G35" s="238"/>
      <c r="H35" s="514"/>
      <c r="I35" s="234" t="s">
        <v>226</v>
      </c>
      <c r="J35" s="235"/>
      <c r="K35" s="235"/>
      <c r="L35" s="235"/>
      <c r="M35" s="236">
        <f t="shared" si="1"/>
        <v>0</v>
      </c>
      <c r="N35" s="236"/>
      <c r="O35" s="512"/>
      <c r="P35" s="234" t="s">
        <v>226</v>
      </c>
      <c r="Q35" s="235"/>
      <c r="R35" s="235"/>
      <c r="S35" s="235"/>
      <c r="T35" s="236">
        <f>R35+S35</f>
        <v>0</v>
      </c>
      <c r="U35" s="236"/>
      <c r="V35" s="512"/>
      <c r="W35" s="234" t="s">
        <v>226</v>
      </c>
      <c r="X35" s="235"/>
      <c r="Y35" s="235">
        <f t="shared" ref="Y35:Y69" si="2">X35*$D$7/12</f>
        <v>0</v>
      </c>
      <c r="Z35" s="235"/>
      <c r="AA35" s="236">
        <f>Y35+Z35</f>
        <v>0</v>
      </c>
      <c r="AB35" s="236"/>
      <c r="AC35" s="512"/>
      <c r="AD35" s="234" t="s">
        <v>226</v>
      </c>
      <c r="AE35" s="235"/>
      <c r="AF35" s="235">
        <f t="shared" ref="AF35:AF69" si="3">AE35*$D$7/12</f>
        <v>0</v>
      </c>
      <c r="AG35" s="235"/>
      <c r="AH35" s="236">
        <f>AF35+AG35</f>
        <v>0</v>
      </c>
      <c r="AI35" s="236"/>
      <c r="AK35" s="240"/>
    </row>
    <row r="36" spans="1:37" hidden="1" x14ac:dyDescent="0.2">
      <c r="A36" s="512"/>
      <c r="B36" s="234" t="s">
        <v>227</v>
      </c>
      <c r="C36" s="235"/>
      <c r="D36" s="235"/>
      <c r="E36" s="235"/>
      <c r="F36" s="236">
        <f t="shared" si="0"/>
        <v>0</v>
      </c>
      <c r="G36" s="238"/>
      <c r="H36" s="514"/>
      <c r="I36" s="234" t="s">
        <v>227</v>
      </c>
      <c r="J36" s="235"/>
      <c r="K36" s="235"/>
      <c r="L36" s="235"/>
      <c r="M36" s="236">
        <f t="shared" si="1"/>
        <v>0</v>
      </c>
      <c r="N36" s="236"/>
      <c r="O36" s="512"/>
      <c r="P36" s="234" t="s">
        <v>227</v>
      </c>
      <c r="Q36" s="235"/>
      <c r="R36" s="235"/>
      <c r="S36" s="235"/>
      <c r="T36" s="236">
        <f t="shared" ref="T36:T99" si="4">R36+S36</f>
        <v>0</v>
      </c>
      <c r="U36" s="236"/>
      <c r="V36" s="512"/>
      <c r="W36" s="234" t="s">
        <v>227</v>
      </c>
      <c r="X36" s="235"/>
      <c r="Y36" s="235">
        <f t="shared" si="2"/>
        <v>0</v>
      </c>
      <c r="Z36" s="235"/>
      <c r="AA36" s="236">
        <f t="shared" ref="AA36:AA99" si="5">Y36+Z36</f>
        <v>0</v>
      </c>
      <c r="AB36" s="236"/>
      <c r="AC36" s="512"/>
      <c r="AD36" s="234" t="s">
        <v>227</v>
      </c>
      <c r="AE36" s="235"/>
      <c r="AF36" s="235">
        <f t="shared" si="3"/>
        <v>0</v>
      </c>
      <c r="AG36" s="235"/>
      <c r="AH36" s="236">
        <f t="shared" ref="AH36:AH99" si="6">AF36+AG36</f>
        <v>0</v>
      </c>
      <c r="AI36" s="236"/>
      <c r="AK36" s="240"/>
    </row>
    <row r="37" spans="1:37" hidden="1" x14ac:dyDescent="0.2">
      <c r="A37" s="512"/>
      <c r="B37" s="234" t="s">
        <v>228</v>
      </c>
      <c r="C37" s="235"/>
      <c r="D37" s="235"/>
      <c r="E37" s="235"/>
      <c r="F37" s="236">
        <f t="shared" si="0"/>
        <v>0</v>
      </c>
      <c r="G37" s="238"/>
      <c r="H37" s="514"/>
      <c r="I37" s="234" t="s">
        <v>228</v>
      </c>
      <c r="J37" s="235"/>
      <c r="K37" s="235"/>
      <c r="L37" s="235"/>
      <c r="M37" s="236">
        <f t="shared" si="1"/>
        <v>0</v>
      </c>
      <c r="N37" s="236"/>
      <c r="O37" s="512"/>
      <c r="P37" s="234" t="s">
        <v>228</v>
      </c>
      <c r="Q37" s="235"/>
      <c r="R37" s="235"/>
      <c r="S37" s="235"/>
      <c r="T37" s="236">
        <f t="shared" si="4"/>
        <v>0</v>
      </c>
      <c r="U37" s="236"/>
      <c r="V37" s="512"/>
      <c r="W37" s="234" t="s">
        <v>228</v>
      </c>
      <c r="X37" s="235"/>
      <c r="Y37" s="235">
        <f t="shared" si="2"/>
        <v>0</v>
      </c>
      <c r="Z37" s="235"/>
      <c r="AA37" s="236">
        <f t="shared" si="5"/>
        <v>0</v>
      </c>
      <c r="AB37" s="236"/>
      <c r="AC37" s="512"/>
      <c r="AD37" s="234" t="s">
        <v>228</v>
      </c>
      <c r="AE37" s="235"/>
      <c r="AF37" s="235">
        <f t="shared" si="3"/>
        <v>0</v>
      </c>
      <c r="AG37" s="235"/>
      <c r="AH37" s="236">
        <f t="shared" si="6"/>
        <v>0</v>
      </c>
      <c r="AI37" s="236"/>
      <c r="AK37" s="240"/>
    </row>
    <row r="38" spans="1:37" hidden="1" x14ac:dyDescent="0.2">
      <c r="A38" s="512"/>
      <c r="B38" s="234" t="s">
        <v>229</v>
      </c>
      <c r="C38" s="235"/>
      <c r="D38" s="235"/>
      <c r="E38" s="235"/>
      <c r="F38" s="236">
        <f t="shared" si="0"/>
        <v>0</v>
      </c>
      <c r="G38" s="238"/>
      <c r="H38" s="514"/>
      <c r="I38" s="234" t="s">
        <v>229</v>
      </c>
      <c r="J38" s="235"/>
      <c r="K38" s="235"/>
      <c r="L38" s="235"/>
      <c r="M38" s="236">
        <f t="shared" si="1"/>
        <v>0</v>
      </c>
      <c r="N38" s="236"/>
      <c r="O38" s="512"/>
      <c r="P38" s="234" t="s">
        <v>229</v>
      </c>
      <c r="Q38" s="235"/>
      <c r="R38" s="235"/>
      <c r="S38" s="235"/>
      <c r="T38" s="236">
        <f t="shared" si="4"/>
        <v>0</v>
      </c>
      <c r="U38" s="236"/>
      <c r="V38" s="512"/>
      <c r="W38" s="234" t="s">
        <v>229</v>
      </c>
      <c r="X38" s="235"/>
      <c r="Y38" s="235">
        <f t="shared" si="2"/>
        <v>0</v>
      </c>
      <c r="Z38" s="235"/>
      <c r="AA38" s="236">
        <f t="shared" si="5"/>
        <v>0</v>
      </c>
      <c r="AB38" s="236"/>
      <c r="AC38" s="512"/>
      <c r="AD38" s="234" t="s">
        <v>229</v>
      </c>
      <c r="AE38" s="235"/>
      <c r="AF38" s="235">
        <f t="shared" si="3"/>
        <v>0</v>
      </c>
      <c r="AG38" s="235"/>
      <c r="AH38" s="236">
        <f t="shared" si="6"/>
        <v>0</v>
      </c>
      <c r="AI38" s="236"/>
      <c r="AK38" s="240"/>
    </row>
    <row r="39" spans="1:37" hidden="1" x14ac:dyDescent="0.2">
      <c r="A39" s="512"/>
      <c r="B39" s="234" t="s">
        <v>230</v>
      </c>
      <c r="C39" s="235"/>
      <c r="D39" s="235"/>
      <c r="E39" s="235"/>
      <c r="F39" s="236">
        <f t="shared" si="0"/>
        <v>0</v>
      </c>
      <c r="G39" s="238"/>
      <c r="H39" s="514"/>
      <c r="I39" s="234" t="s">
        <v>230</v>
      </c>
      <c r="J39" s="235"/>
      <c r="K39" s="235"/>
      <c r="L39" s="235"/>
      <c r="M39" s="236">
        <f t="shared" si="1"/>
        <v>0</v>
      </c>
      <c r="N39" s="236"/>
      <c r="O39" s="512"/>
      <c r="P39" s="234" t="s">
        <v>230</v>
      </c>
      <c r="Q39" s="235"/>
      <c r="R39" s="235"/>
      <c r="S39" s="235"/>
      <c r="T39" s="236">
        <f t="shared" si="4"/>
        <v>0</v>
      </c>
      <c r="U39" s="236"/>
      <c r="V39" s="512"/>
      <c r="W39" s="234" t="s">
        <v>230</v>
      </c>
      <c r="X39" s="235"/>
      <c r="Y39" s="235">
        <f t="shared" si="2"/>
        <v>0</v>
      </c>
      <c r="Z39" s="235"/>
      <c r="AA39" s="236">
        <f t="shared" si="5"/>
        <v>0</v>
      </c>
      <c r="AB39" s="236"/>
      <c r="AC39" s="512"/>
      <c r="AD39" s="234" t="s">
        <v>230</v>
      </c>
      <c r="AE39" s="235"/>
      <c r="AF39" s="235">
        <f t="shared" si="3"/>
        <v>0</v>
      </c>
      <c r="AG39" s="235"/>
      <c r="AH39" s="236">
        <f t="shared" si="6"/>
        <v>0</v>
      </c>
      <c r="AI39" s="236"/>
      <c r="AK39" s="240"/>
    </row>
    <row r="40" spans="1:37" hidden="1" x14ac:dyDescent="0.2">
      <c r="A40" s="512"/>
      <c r="B40" s="234" t="s">
        <v>231</v>
      </c>
      <c r="C40" s="235"/>
      <c r="D40" s="235"/>
      <c r="E40" s="235"/>
      <c r="F40" s="236">
        <f t="shared" si="0"/>
        <v>0</v>
      </c>
      <c r="G40" s="238"/>
      <c r="H40" s="514"/>
      <c r="I40" s="234" t="s">
        <v>231</v>
      </c>
      <c r="J40" s="235"/>
      <c r="K40" s="235"/>
      <c r="L40" s="235"/>
      <c r="M40" s="236">
        <f t="shared" si="1"/>
        <v>0</v>
      </c>
      <c r="N40" s="236"/>
      <c r="O40" s="512"/>
      <c r="P40" s="234" t="s">
        <v>231</v>
      </c>
      <c r="Q40" s="235"/>
      <c r="R40" s="235"/>
      <c r="S40" s="235"/>
      <c r="T40" s="236">
        <f t="shared" si="4"/>
        <v>0</v>
      </c>
      <c r="U40" s="236"/>
      <c r="V40" s="512"/>
      <c r="W40" s="234" t="s">
        <v>231</v>
      </c>
      <c r="X40" s="235"/>
      <c r="Y40" s="235">
        <f t="shared" si="2"/>
        <v>0</v>
      </c>
      <c r="Z40" s="235"/>
      <c r="AA40" s="236">
        <f t="shared" si="5"/>
        <v>0</v>
      </c>
      <c r="AB40" s="236"/>
      <c r="AC40" s="512"/>
      <c r="AD40" s="234" t="s">
        <v>231</v>
      </c>
      <c r="AE40" s="235"/>
      <c r="AF40" s="235">
        <f t="shared" si="3"/>
        <v>0</v>
      </c>
      <c r="AG40" s="235"/>
      <c r="AH40" s="236">
        <f t="shared" si="6"/>
        <v>0</v>
      </c>
      <c r="AI40" s="236"/>
      <c r="AK40" s="240"/>
    </row>
    <row r="41" spans="1:37" hidden="1" x14ac:dyDescent="0.2">
      <c r="A41" s="512"/>
      <c r="B41" s="234" t="s">
        <v>232</v>
      </c>
      <c r="C41" s="235"/>
      <c r="D41" s="235"/>
      <c r="E41" s="235"/>
      <c r="F41" s="236">
        <f t="shared" si="0"/>
        <v>0</v>
      </c>
      <c r="G41" s="238"/>
      <c r="H41" s="514"/>
      <c r="I41" s="234" t="s">
        <v>232</v>
      </c>
      <c r="J41" s="235"/>
      <c r="K41" s="235"/>
      <c r="L41" s="235"/>
      <c r="M41" s="236">
        <f t="shared" si="1"/>
        <v>0</v>
      </c>
      <c r="N41" s="236"/>
      <c r="O41" s="512"/>
      <c r="P41" s="234" t="s">
        <v>232</v>
      </c>
      <c r="Q41" s="235"/>
      <c r="R41" s="235"/>
      <c r="S41" s="235"/>
      <c r="T41" s="236">
        <f t="shared" si="4"/>
        <v>0</v>
      </c>
      <c r="U41" s="236"/>
      <c r="V41" s="512"/>
      <c r="W41" s="234" t="s">
        <v>232</v>
      </c>
      <c r="X41" s="235"/>
      <c r="Y41" s="235">
        <f t="shared" si="2"/>
        <v>0</v>
      </c>
      <c r="Z41" s="235"/>
      <c r="AA41" s="236">
        <f t="shared" si="5"/>
        <v>0</v>
      </c>
      <c r="AB41" s="236"/>
      <c r="AC41" s="512"/>
      <c r="AD41" s="234" t="s">
        <v>232</v>
      </c>
      <c r="AE41" s="235"/>
      <c r="AF41" s="235">
        <f t="shared" si="3"/>
        <v>0</v>
      </c>
      <c r="AG41" s="235"/>
      <c r="AH41" s="236">
        <f t="shared" si="6"/>
        <v>0</v>
      </c>
      <c r="AI41" s="236"/>
      <c r="AK41" s="240"/>
    </row>
    <row r="42" spans="1:37" hidden="1" x14ac:dyDescent="0.2">
      <c r="A42" s="512"/>
      <c r="B42" s="234" t="s">
        <v>233</v>
      </c>
      <c r="C42" s="235"/>
      <c r="D42" s="235"/>
      <c r="E42" s="235"/>
      <c r="F42" s="236">
        <f t="shared" si="0"/>
        <v>0</v>
      </c>
      <c r="G42" s="238"/>
      <c r="H42" s="514"/>
      <c r="I42" s="234" t="s">
        <v>233</v>
      </c>
      <c r="J42" s="235"/>
      <c r="K42" s="235"/>
      <c r="L42" s="235"/>
      <c r="M42" s="236">
        <f t="shared" si="1"/>
        <v>0</v>
      </c>
      <c r="N42" s="236"/>
      <c r="O42" s="512"/>
      <c r="P42" s="234" t="s">
        <v>233</v>
      </c>
      <c r="Q42" s="235"/>
      <c r="R42" s="235"/>
      <c r="S42" s="235"/>
      <c r="T42" s="236">
        <f t="shared" si="4"/>
        <v>0</v>
      </c>
      <c r="U42" s="236"/>
      <c r="V42" s="512"/>
      <c r="W42" s="234" t="s">
        <v>233</v>
      </c>
      <c r="X42" s="235"/>
      <c r="Y42" s="235">
        <f t="shared" si="2"/>
        <v>0</v>
      </c>
      <c r="Z42" s="235"/>
      <c r="AA42" s="236">
        <f t="shared" si="5"/>
        <v>0</v>
      </c>
      <c r="AB42" s="236"/>
      <c r="AC42" s="512"/>
      <c r="AD42" s="234" t="s">
        <v>233</v>
      </c>
      <c r="AE42" s="235"/>
      <c r="AF42" s="235">
        <f t="shared" si="3"/>
        <v>0</v>
      </c>
      <c r="AG42" s="235"/>
      <c r="AH42" s="236">
        <f t="shared" si="6"/>
        <v>0</v>
      </c>
      <c r="AI42" s="236"/>
      <c r="AK42" s="240"/>
    </row>
    <row r="43" spans="1:37" hidden="1" x14ac:dyDescent="0.2">
      <c r="A43" s="512"/>
      <c r="B43" s="234" t="s">
        <v>234</v>
      </c>
      <c r="C43" s="235"/>
      <c r="D43" s="235"/>
      <c r="E43" s="235"/>
      <c r="F43" s="236">
        <f t="shared" si="0"/>
        <v>0</v>
      </c>
      <c r="G43" s="238"/>
      <c r="H43" s="514"/>
      <c r="I43" s="234" t="s">
        <v>234</v>
      </c>
      <c r="J43" s="235"/>
      <c r="K43" s="235"/>
      <c r="L43" s="235"/>
      <c r="M43" s="236">
        <f t="shared" si="1"/>
        <v>0</v>
      </c>
      <c r="N43" s="236"/>
      <c r="O43" s="512"/>
      <c r="P43" s="234" t="s">
        <v>234</v>
      </c>
      <c r="Q43" s="235"/>
      <c r="R43" s="235"/>
      <c r="S43" s="235"/>
      <c r="T43" s="236">
        <f t="shared" si="4"/>
        <v>0</v>
      </c>
      <c r="U43" s="236"/>
      <c r="V43" s="512"/>
      <c r="W43" s="234" t="s">
        <v>234</v>
      </c>
      <c r="X43" s="235"/>
      <c r="Y43" s="235">
        <f t="shared" si="2"/>
        <v>0</v>
      </c>
      <c r="Z43" s="235"/>
      <c r="AA43" s="236">
        <f t="shared" si="5"/>
        <v>0</v>
      </c>
      <c r="AB43" s="236"/>
      <c r="AC43" s="512"/>
      <c r="AD43" s="234" t="s">
        <v>234</v>
      </c>
      <c r="AE43" s="235"/>
      <c r="AF43" s="235">
        <f t="shared" si="3"/>
        <v>0</v>
      </c>
      <c r="AG43" s="235"/>
      <c r="AH43" s="236">
        <f t="shared" si="6"/>
        <v>0</v>
      </c>
      <c r="AI43" s="236"/>
      <c r="AK43" s="240"/>
    </row>
    <row r="44" spans="1:37" hidden="1" x14ac:dyDescent="0.2">
      <c r="A44" s="512"/>
      <c r="B44" s="234" t="s">
        <v>235</v>
      </c>
      <c r="C44" s="235"/>
      <c r="D44" s="235"/>
      <c r="E44" s="235"/>
      <c r="F44" s="236">
        <f t="shared" si="0"/>
        <v>0</v>
      </c>
      <c r="G44" s="238"/>
      <c r="H44" s="514"/>
      <c r="I44" s="234" t="s">
        <v>235</v>
      </c>
      <c r="J44" s="235"/>
      <c r="K44" s="235"/>
      <c r="L44" s="235"/>
      <c r="M44" s="236">
        <f t="shared" si="1"/>
        <v>0</v>
      </c>
      <c r="N44" s="236"/>
      <c r="O44" s="512"/>
      <c r="P44" s="234" t="s">
        <v>235</v>
      </c>
      <c r="Q44" s="235"/>
      <c r="R44" s="235"/>
      <c r="S44" s="235"/>
      <c r="T44" s="236">
        <f t="shared" si="4"/>
        <v>0</v>
      </c>
      <c r="U44" s="236"/>
      <c r="V44" s="512"/>
      <c r="W44" s="234" t="s">
        <v>235</v>
      </c>
      <c r="X44" s="235"/>
      <c r="Y44" s="235">
        <f t="shared" si="2"/>
        <v>0</v>
      </c>
      <c r="Z44" s="235"/>
      <c r="AA44" s="236">
        <f t="shared" si="5"/>
        <v>0</v>
      </c>
      <c r="AB44" s="236"/>
      <c r="AC44" s="512"/>
      <c r="AD44" s="234" t="s">
        <v>235</v>
      </c>
      <c r="AE44" s="235"/>
      <c r="AF44" s="235">
        <f t="shared" si="3"/>
        <v>0</v>
      </c>
      <c r="AG44" s="235"/>
      <c r="AH44" s="236">
        <f t="shared" si="6"/>
        <v>0</v>
      </c>
      <c r="AI44" s="236"/>
      <c r="AK44" s="240"/>
    </row>
    <row r="45" spans="1:37" hidden="1" x14ac:dyDescent="0.2">
      <c r="A45" s="512"/>
      <c r="B45" s="234" t="s">
        <v>236</v>
      </c>
      <c r="C45" s="235"/>
      <c r="D45" s="235"/>
      <c r="E45" s="235"/>
      <c r="F45" s="236">
        <f t="shared" si="0"/>
        <v>0</v>
      </c>
      <c r="G45" s="239">
        <f>SUM(D34:D45)</f>
        <v>0</v>
      </c>
      <c r="H45" s="515"/>
      <c r="I45" s="234" t="s">
        <v>236</v>
      </c>
      <c r="J45" s="235"/>
      <c r="K45" s="235"/>
      <c r="L45" s="235"/>
      <c r="M45" s="236">
        <f t="shared" si="1"/>
        <v>0</v>
      </c>
      <c r="N45" s="239">
        <f>SUM(K34:K45)</f>
        <v>0</v>
      </c>
      <c r="O45" s="512"/>
      <c r="P45" s="234" t="s">
        <v>236</v>
      </c>
      <c r="Q45" s="235"/>
      <c r="R45" s="235"/>
      <c r="S45" s="235"/>
      <c r="T45" s="236">
        <f t="shared" si="4"/>
        <v>0</v>
      </c>
      <c r="U45" s="239">
        <f>SUM(R34:R45)</f>
        <v>0</v>
      </c>
      <c r="V45" s="512"/>
      <c r="W45" s="234" t="s">
        <v>236</v>
      </c>
      <c r="X45" s="235"/>
      <c r="Y45" s="235">
        <f t="shared" si="2"/>
        <v>0</v>
      </c>
      <c r="Z45" s="235"/>
      <c r="AA45" s="236">
        <f t="shared" si="5"/>
        <v>0</v>
      </c>
      <c r="AB45" s="239">
        <f>SUM(Y34:Y45)</f>
        <v>0</v>
      </c>
      <c r="AC45" s="512"/>
      <c r="AD45" s="234" t="s">
        <v>236</v>
      </c>
      <c r="AE45" s="235"/>
      <c r="AF45" s="235">
        <f t="shared" si="3"/>
        <v>0</v>
      </c>
      <c r="AG45" s="235"/>
      <c r="AH45" s="236">
        <f t="shared" si="6"/>
        <v>0</v>
      </c>
      <c r="AI45" s="239">
        <f>SUM(AF34:AF45)</f>
        <v>0</v>
      </c>
      <c r="AJ45" s="208">
        <f>AJ33+1</f>
        <v>2024</v>
      </c>
      <c r="AK45" s="240">
        <f>G45+N45+U45+AB45+AI45</f>
        <v>0</v>
      </c>
    </row>
    <row r="46" spans="1:37" x14ac:dyDescent="0.2">
      <c r="A46" s="512">
        <f>A34+1</f>
        <v>2025</v>
      </c>
      <c r="B46" s="234" t="s">
        <v>225</v>
      </c>
      <c r="C46" s="235">
        <f>C7</f>
        <v>8515.7210000000014</v>
      </c>
      <c r="D46" s="235">
        <f t="shared" ref="D46:D109" si="7">C46*$D$7/12</f>
        <v>141.92868333333337</v>
      </c>
      <c r="E46" s="235">
        <f t="shared" ref="E46:E67" si="8">$C$7/$D$8</f>
        <v>70.964341666666684</v>
      </c>
      <c r="F46" s="236">
        <f t="shared" si="0"/>
        <v>212.89302500000005</v>
      </c>
      <c r="G46" s="237"/>
      <c r="H46" s="513">
        <f>H34+1</f>
        <v>2025</v>
      </c>
      <c r="I46" s="234" t="s">
        <v>225</v>
      </c>
      <c r="J46" s="235">
        <f>J7-J8</f>
        <v>910.89400000000001</v>
      </c>
      <c r="K46" s="235">
        <f t="shared" ref="K46:K109" si="9">J46*$D$7/12</f>
        <v>15.181566666666669</v>
      </c>
      <c r="L46" s="235">
        <f t="shared" ref="L46:L109" si="10">$J$7/$K$8</f>
        <v>7.5907833333333334</v>
      </c>
      <c r="M46" s="236">
        <f t="shared" si="1"/>
        <v>22.772350000000003</v>
      </c>
      <c r="N46" s="236"/>
      <c r="O46" s="512">
        <f>O34+1</f>
        <v>2025</v>
      </c>
      <c r="P46" s="234" t="s">
        <v>225</v>
      </c>
      <c r="Q46" s="235"/>
      <c r="R46" s="235"/>
      <c r="S46" s="235"/>
      <c r="T46" s="236">
        <f t="shared" si="4"/>
        <v>0</v>
      </c>
      <c r="U46" s="236"/>
      <c r="V46" s="512">
        <f>V34+1</f>
        <v>2024</v>
      </c>
      <c r="W46" s="234" t="s">
        <v>225</v>
      </c>
      <c r="X46" s="235"/>
      <c r="Y46" s="235">
        <f t="shared" si="2"/>
        <v>0</v>
      </c>
      <c r="Z46" s="235"/>
      <c r="AA46" s="236">
        <f t="shared" si="5"/>
        <v>0</v>
      </c>
      <c r="AB46" s="236"/>
      <c r="AC46" s="512">
        <f>AC34+1</f>
        <v>2024</v>
      </c>
      <c r="AD46" s="234" t="s">
        <v>225</v>
      </c>
      <c r="AE46" s="235"/>
      <c r="AF46" s="235">
        <f t="shared" si="3"/>
        <v>0</v>
      </c>
      <c r="AG46" s="235"/>
      <c r="AH46" s="236">
        <f t="shared" si="6"/>
        <v>0</v>
      </c>
      <c r="AI46" s="236"/>
      <c r="AK46" s="240"/>
    </row>
    <row r="47" spans="1:37" x14ac:dyDescent="0.2">
      <c r="A47" s="512"/>
      <c r="B47" s="234" t="s">
        <v>226</v>
      </c>
      <c r="C47" s="235">
        <f t="shared" ref="C47:C110" si="11">C46-E46</f>
        <v>8444.7566583333355</v>
      </c>
      <c r="D47" s="235">
        <f t="shared" si="7"/>
        <v>140.74594430555558</v>
      </c>
      <c r="E47" s="235">
        <f t="shared" si="8"/>
        <v>70.964341666666684</v>
      </c>
      <c r="F47" s="236">
        <f t="shared" si="0"/>
        <v>211.71028597222227</v>
      </c>
      <c r="G47" s="238"/>
      <c r="H47" s="514"/>
      <c r="I47" s="234" t="s">
        <v>226</v>
      </c>
      <c r="J47" s="235">
        <f t="shared" ref="J47:J110" si="12">J46-L46</f>
        <v>903.30321666666669</v>
      </c>
      <c r="K47" s="235">
        <f t="shared" si="9"/>
        <v>15.055053611111113</v>
      </c>
      <c r="L47" s="235">
        <f t="shared" si="10"/>
        <v>7.5907833333333334</v>
      </c>
      <c r="M47" s="236">
        <f t="shared" si="1"/>
        <v>22.645836944444447</v>
      </c>
      <c r="N47" s="236"/>
      <c r="O47" s="512"/>
      <c r="P47" s="234" t="s">
        <v>226</v>
      </c>
      <c r="Q47" s="235"/>
      <c r="R47" s="235"/>
      <c r="S47" s="235"/>
      <c r="T47" s="236">
        <f t="shared" si="4"/>
        <v>0</v>
      </c>
      <c r="U47" s="236"/>
      <c r="V47" s="512"/>
      <c r="W47" s="234" t="s">
        <v>226</v>
      </c>
      <c r="X47" s="235"/>
      <c r="Y47" s="235">
        <f t="shared" si="2"/>
        <v>0</v>
      </c>
      <c r="Z47" s="235"/>
      <c r="AA47" s="236">
        <f t="shared" si="5"/>
        <v>0</v>
      </c>
      <c r="AB47" s="236"/>
      <c r="AC47" s="512"/>
      <c r="AD47" s="234" t="s">
        <v>226</v>
      </c>
      <c r="AE47" s="235"/>
      <c r="AF47" s="235">
        <f t="shared" si="3"/>
        <v>0</v>
      </c>
      <c r="AG47" s="235"/>
      <c r="AH47" s="236">
        <f t="shared" si="6"/>
        <v>0</v>
      </c>
      <c r="AI47" s="236"/>
      <c r="AK47" s="240"/>
    </row>
    <row r="48" spans="1:37" x14ac:dyDescent="0.2">
      <c r="A48" s="512"/>
      <c r="B48" s="234" t="s">
        <v>227</v>
      </c>
      <c r="C48" s="235">
        <f t="shared" si="11"/>
        <v>8373.7923166666696</v>
      </c>
      <c r="D48" s="235">
        <f t="shared" si="7"/>
        <v>139.56320527777783</v>
      </c>
      <c r="E48" s="235">
        <f t="shared" si="8"/>
        <v>70.964341666666684</v>
      </c>
      <c r="F48" s="236">
        <f t="shared" si="0"/>
        <v>210.52754694444451</v>
      </c>
      <c r="G48" s="238"/>
      <c r="H48" s="514"/>
      <c r="I48" s="234" t="s">
        <v>227</v>
      </c>
      <c r="J48" s="235">
        <f t="shared" si="12"/>
        <v>895.71243333333337</v>
      </c>
      <c r="K48" s="235">
        <f t="shared" si="9"/>
        <v>14.928540555555557</v>
      </c>
      <c r="L48" s="235">
        <f t="shared" si="10"/>
        <v>7.5907833333333334</v>
      </c>
      <c r="M48" s="236">
        <f t="shared" si="1"/>
        <v>22.519323888888891</v>
      </c>
      <c r="N48" s="236"/>
      <c r="O48" s="512"/>
      <c r="P48" s="234" t="s">
        <v>227</v>
      </c>
      <c r="Q48" s="235"/>
      <c r="R48" s="235"/>
      <c r="S48" s="235"/>
      <c r="T48" s="236">
        <f t="shared" si="4"/>
        <v>0</v>
      </c>
      <c r="U48" s="236"/>
      <c r="V48" s="512"/>
      <c r="W48" s="234" t="s">
        <v>227</v>
      </c>
      <c r="X48" s="235"/>
      <c r="Y48" s="235">
        <f t="shared" si="2"/>
        <v>0</v>
      </c>
      <c r="Z48" s="235"/>
      <c r="AA48" s="236">
        <f t="shared" si="5"/>
        <v>0</v>
      </c>
      <c r="AB48" s="236"/>
      <c r="AC48" s="512"/>
      <c r="AD48" s="234" t="s">
        <v>227</v>
      </c>
      <c r="AE48" s="235"/>
      <c r="AF48" s="235">
        <f t="shared" si="3"/>
        <v>0</v>
      </c>
      <c r="AG48" s="235"/>
      <c r="AH48" s="236">
        <f t="shared" si="6"/>
        <v>0</v>
      </c>
      <c r="AI48" s="236"/>
      <c r="AK48" s="240"/>
    </row>
    <row r="49" spans="1:37" x14ac:dyDescent="0.2">
      <c r="A49" s="512"/>
      <c r="B49" s="234" t="s">
        <v>228</v>
      </c>
      <c r="C49" s="235">
        <f t="shared" si="11"/>
        <v>8302.8279750000038</v>
      </c>
      <c r="D49" s="235">
        <f t="shared" si="7"/>
        <v>138.38046625000007</v>
      </c>
      <c r="E49" s="235">
        <f t="shared" si="8"/>
        <v>70.964341666666684</v>
      </c>
      <c r="F49" s="236">
        <f t="shared" si="0"/>
        <v>209.34480791666675</v>
      </c>
      <c r="G49" s="238"/>
      <c r="H49" s="514"/>
      <c r="I49" s="234" t="s">
        <v>228</v>
      </c>
      <c r="J49" s="235">
        <f t="shared" si="12"/>
        <v>888.12165000000005</v>
      </c>
      <c r="K49" s="235">
        <f t="shared" si="9"/>
        <v>14.802027500000001</v>
      </c>
      <c r="L49" s="235">
        <f t="shared" si="10"/>
        <v>7.5907833333333334</v>
      </c>
      <c r="M49" s="236">
        <f t="shared" si="1"/>
        <v>22.392810833333336</v>
      </c>
      <c r="N49" s="236"/>
      <c r="O49" s="512"/>
      <c r="P49" s="234" t="s">
        <v>228</v>
      </c>
      <c r="Q49" s="235"/>
      <c r="R49" s="235"/>
      <c r="S49" s="235"/>
      <c r="T49" s="236">
        <f t="shared" si="4"/>
        <v>0</v>
      </c>
      <c r="U49" s="236"/>
      <c r="V49" s="512"/>
      <c r="W49" s="234" t="s">
        <v>228</v>
      </c>
      <c r="X49" s="235"/>
      <c r="Y49" s="235">
        <f t="shared" si="2"/>
        <v>0</v>
      </c>
      <c r="Z49" s="235"/>
      <c r="AA49" s="236">
        <f t="shared" si="5"/>
        <v>0</v>
      </c>
      <c r="AB49" s="236"/>
      <c r="AC49" s="512"/>
      <c r="AD49" s="234" t="s">
        <v>228</v>
      </c>
      <c r="AE49" s="235"/>
      <c r="AF49" s="235">
        <f t="shared" si="3"/>
        <v>0</v>
      </c>
      <c r="AG49" s="235"/>
      <c r="AH49" s="236">
        <f t="shared" si="6"/>
        <v>0</v>
      </c>
      <c r="AI49" s="236"/>
      <c r="AK49" s="240"/>
    </row>
    <row r="50" spans="1:37" x14ac:dyDescent="0.2">
      <c r="A50" s="512"/>
      <c r="B50" s="234" t="s">
        <v>229</v>
      </c>
      <c r="C50" s="235">
        <f t="shared" si="11"/>
        <v>8231.8636333333379</v>
      </c>
      <c r="D50" s="235">
        <f t="shared" si="7"/>
        <v>137.19772722222231</v>
      </c>
      <c r="E50" s="235">
        <f t="shared" si="8"/>
        <v>70.964341666666684</v>
      </c>
      <c r="F50" s="236">
        <f t="shared" si="0"/>
        <v>208.162068888889</v>
      </c>
      <c r="G50" s="238"/>
      <c r="H50" s="514"/>
      <c r="I50" s="234" t="s">
        <v>229</v>
      </c>
      <c r="J50" s="235">
        <f t="shared" si="12"/>
        <v>880.53086666666672</v>
      </c>
      <c r="K50" s="235">
        <f t="shared" si="9"/>
        <v>14.675514444444445</v>
      </c>
      <c r="L50" s="235">
        <f t="shared" si="10"/>
        <v>7.5907833333333334</v>
      </c>
      <c r="M50" s="236">
        <f t="shared" si="1"/>
        <v>22.26629777777778</v>
      </c>
      <c r="N50" s="236"/>
      <c r="O50" s="512"/>
      <c r="P50" s="234" t="s">
        <v>229</v>
      </c>
      <c r="Q50" s="235"/>
      <c r="R50" s="235"/>
      <c r="S50" s="235"/>
      <c r="T50" s="236">
        <f t="shared" si="4"/>
        <v>0</v>
      </c>
      <c r="U50" s="236"/>
      <c r="V50" s="512"/>
      <c r="W50" s="234" t="s">
        <v>229</v>
      </c>
      <c r="X50" s="235"/>
      <c r="Y50" s="235">
        <f t="shared" si="2"/>
        <v>0</v>
      </c>
      <c r="Z50" s="235"/>
      <c r="AA50" s="236">
        <f t="shared" si="5"/>
        <v>0</v>
      </c>
      <c r="AB50" s="236"/>
      <c r="AC50" s="512"/>
      <c r="AD50" s="234" t="s">
        <v>229</v>
      </c>
      <c r="AE50" s="235"/>
      <c r="AF50" s="235">
        <f t="shared" si="3"/>
        <v>0</v>
      </c>
      <c r="AG50" s="235"/>
      <c r="AH50" s="236">
        <f t="shared" si="6"/>
        <v>0</v>
      </c>
      <c r="AI50" s="236"/>
      <c r="AK50" s="240"/>
    </row>
    <row r="51" spans="1:37" x14ac:dyDescent="0.2">
      <c r="A51" s="512"/>
      <c r="B51" s="234" t="s">
        <v>230</v>
      </c>
      <c r="C51" s="235">
        <f t="shared" si="11"/>
        <v>8160.8992916666712</v>
      </c>
      <c r="D51" s="235">
        <f t="shared" si="7"/>
        <v>136.01498819444453</v>
      </c>
      <c r="E51" s="235">
        <f t="shared" si="8"/>
        <v>70.964341666666684</v>
      </c>
      <c r="F51" s="236">
        <f t="shared" si="0"/>
        <v>206.97932986111121</v>
      </c>
      <c r="G51" s="238"/>
      <c r="H51" s="514"/>
      <c r="I51" s="234" t="s">
        <v>230</v>
      </c>
      <c r="J51" s="235">
        <f t="shared" si="12"/>
        <v>872.9400833333334</v>
      </c>
      <c r="K51" s="235">
        <f t="shared" si="9"/>
        <v>14.549001388888891</v>
      </c>
      <c r="L51" s="235">
        <f t="shared" si="10"/>
        <v>7.5907833333333334</v>
      </c>
      <c r="M51" s="236">
        <f t="shared" si="1"/>
        <v>22.139784722222224</v>
      </c>
      <c r="N51" s="236"/>
      <c r="O51" s="512"/>
      <c r="P51" s="234" t="s">
        <v>230</v>
      </c>
      <c r="Q51" s="235"/>
      <c r="R51" s="235"/>
      <c r="S51" s="235"/>
      <c r="T51" s="236">
        <f t="shared" si="4"/>
        <v>0</v>
      </c>
      <c r="U51" s="236"/>
      <c r="V51" s="512"/>
      <c r="W51" s="234" t="s">
        <v>230</v>
      </c>
      <c r="X51" s="235"/>
      <c r="Y51" s="235">
        <f t="shared" si="2"/>
        <v>0</v>
      </c>
      <c r="Z51" s="235"/>
      <c r="AA51" s="236">
        <f t="shared" si="5"/>
        <v>0</v>
      </c>
      <c r="AB51" s="236"/>
      <c r="AC51" s="512"/>
      <c r="AD51" s="234" t="s">
        <v>230</v>
      </c>
      <c r="AE51" s="235"/>
      <c r="AF51" s="235">
        <f t="shared" si="3"/>
        <v>0</v>
      </c>
      <c r="AG51" s="235"/>
      <c r="AH51" s="236">
        <f t="shared" si="6"/>
        <v>0</v>
      </c>
      <c r="AI51" s="236"/>
      <c r="AK51" s="240"/>
    </row>
    <row r="52" spans="1:37" x14ac:dyDescent="0.2">
      <c r="A52" s="512"/>
      <c r="B52" s="234" t="s">
        <v>231</v>
      </c>
      <c r="C52" s="235">
        <f t="shared" si="11"/>
        <v>8089.9349500000044</v>
      </c>
      <c r="D52" s="235">
        <f t="shared" si="7"/>
        <v>134.83224916666674</v>
      </c>
      <c r="E52" s="235">
        <f t="shared" si="8"/>
        <v>70.964341666666684</v>
      </c>
      <c r="F52" s="236">
        <f t="shared" si="0"/>
        <v>205.79659083333343</v>
      </c>
      <c r="G52" s="238"/>
      <c r="H52" s="514"/>
      <c r="I52" s="234" t="s">
        <v>231</v>
      </c>
      <c r="J52" s="235">
        <f t="shared" si="12"/>
        <v>865.34930000000008</v>
      </c>
      <c r="K52" s="235">
        <f t="shared" si="9"/>
        <v>14.422488333333336</v>
      </c>
      <c r="L52" s="235">
        <f t="shared" si="10"/>
        <v>7.5907833333333334</v>
      </c>
      <c r="M52" s="236">
        <f t="shared" si="1"/>
        <v>22.013271666666668</v>
      </c>
      <c r="N52" s="236"/>
      <c r="O52" s="512"/>
      <c r="P52" s="234" t="s">
        <v>231</v>
      </c>
      <c r="Q52" s="235"/>
      <c r="R52" s="235"/>
      <c r="S52" s="235"/>
      <c r="T52" s="236">
        <f t="shared" si="4"/>
        <v>0</v>
      </c>
      <c r="U52" s="236"/>
      <c r="V52" s="512"/>
      <c r="W52" s="234" t="s">
        <v>231</v>
      </c>
      <c r="X52" s="235"/>
      <c r="Y52" s="235">
        <f t="shared" si="2"/>
        <v>0</v>
      </c>
      <c r="Z52" s="235"/>
      <c r="AA52" s="236">
        <f t="shared" si="5"/>
        <v>0</v>
      </c>
      <c r="AB52" s="236"/>
      <c r="AC52" s="512"/>
      <c r="AD52" s="234" t="s">
        <v>231</v>
      </c>
      <c r="AE52" s="235"/>
      <c r="AF52" s="235">
        <f t="shared" si="3"/>
        <v>0</v>
      </c>
      <c r="AG52" s="235"/>
      <c r="AH52" s="236">
        <f t="shared" si="6"/>
        <v>0</v>
      </c>
      <c r="AI52" s="236"/>
      <c r="AK52" s="240"/>
    </row>
    <row r="53" spans="1:37" x14ac:dyDescent="0.2">
      <c r="A53" s="512"/>
      <c r="B53" s="234" t="s">
        <v>232</v>
      </c>
      <c r="C53" s="235">
        <f t="shared" si="11"/>
        <v>8018.9706083333376</v>
      </c>
      <c r="D53" s="235">
        <f t="shared" si="7"/>
        <v>133.64951013888899</v>
      </c>
      <c r="E53" s="235">
        <f t="shared" si="8"/>
        <v>70.964341666666684</v>
      </c>
      <c r="F53" s="236">
        <f t="shared" si="0"/>
        <v>204.61385180555567</v>
      </c>
      <c r="G53" s="238"/>
      <c r="H53" s="514"/>
      <c r="I53" s="234" t="s">
        <v>232</v>
      </c>
      <c r="J53" s="235">
        <f t="shared" si="12"/>
        <v>857.75851666666676</v>
      </c>
      <c r="K53" s="235">
        <f t="shared" si="9"/>
        <v>14.29597527777778</v>
      </c>
      <c r="L53" s="235">
        <f t="shared" si="10"/>
        <v>7.5907833333333334</v>
      </c>
      <c r="M53" s="236">
        <f t="shared" si="1"/>
        <v>21.886758611111112</v>
      </c>
      <c r="N53" s="236"/>
      <c r="O53" s="512"/>
      <c r="P53" s="234" t="s">
        <v>232</v>
      </c>
      <c r="Q53" s="235"/>
      <c r="R53" s="235"/>
      <c r="S53" s="235"/>
      <c r="T53" s="236">
        <f t="shared" si="4"/>
        <v>0</v>
      </c>
      <c r="U53" s="236"/>
      <c r="V53" s="512"/>
      <c r="W53" s="234" t="s">
        <v>232</v>
      </c>
      <c r="X53" s="235"/>
      <c r="Y53" s="235">
        <f t="shared" si="2"/>
        <v>0</v>
      </c>
      <c r="Z53" s="235"/>
      <c r="AA53" s="236">
        <f t="shared" si="5"/>
        <v>0</v>
      </c>
      <c r="AB53" s="236"/>
      <c r="AC53" s="512"/>
      <c r="AD53" s="234" t="s">
        <v>232</v>
      </c>
      <c r="AE53" s="235"/>
      <c r="AF53" s="235">
        <f t="shared" si="3"/>
        <v>0</v>
      </c>
      <c r="AG53" s="235"/>
      <c r="AH53" s="236">
        <f t="shared" si="6"/>
        <v>0</v>
      </c>
      <c r="AI53" s="236"/>
      <c r="AK53" s="240"/>
    </row>
    <row r="54" spans="1:37" x14ac:dyDescent="0.2">
      <c r="A54" s="512"/>
      <c r="B54" s="234" t="s">
        <v>233</v>
      </c>
      <c r="C54" s="235">
        <f t="shared" si="11"/>
        <v>7948.0062666666709</v>
      </c>
      <c r="D54" s="235">
        <f t="shared" si="7"/>
        <v>132.46677111111117</v>
      </c>
      <c r="E54" s="235">
        <f t="shared" si="8"/>
        <v>70.964341666666684</v>
      </c>
      <c r="F54" s="236">
        <f t="shared" si="0"/>
        <v>203.43111277777786</v>
      </c>
      <c r="G54" s="238"/>
      <c r="H54" s="514"/>
      <c r="I54" s="234" t="s">
        <v>233</v>
      </c>
      <c r="J54" s="235">
        <f t="shared" si="12"/>
        <v>850.16773333333344</v>
      </c>
      <c r="K54" s="235">
        <f t="shared" si="9"/>
        <v>14.169462222222224</v>
      </c>
      <c r="L54" s="235">
        <f t="shared" si="10"/>
        <v>7.5907833333333334</v>
      </c>
      <c r="M54" s="236">
        <f t="shared" si="1"/>
        <v>21.760245555555557</v>
      </c>
      <c r="N54" s="236"/>
      <c r="O54" s="512"/>
      <c r="P54" s="234" t="s">
        <v>233</v>
      </c>
      <c r="Q54" s="235"/>
      <c r="R54" s="235"/>
      <c r="S54" s="235"/>
      <c r="T54" s="236">
        <f t="shared" si="4"/>
        <v>0</v>
      </c>
      <c r="U54" s="236"/>
      <c r="V54" s="512"/>
      <c r="W54" s="234" t="s">
        <v>233</v>
      </c>
      <c r="X54" s="235"/>
      <c r="Y54" s="235">
        <f t="shared" si="2"/>
        <v>0</v>
      </c>
      <c r="Z54" s="235"/>
      <c r="AA54" s="236">
        <f t="shared" si="5"/>
        <v>0</v>
      </c>
      <c r="AB54" s="236"/>
      <c r="AC54" s="512"/>
      <c r="AD54" s="234" t="s">
        <v>233</v>
      </c>
      <c r="AE54" s="235"/>
      <c r="AF54" s="235">
        <f t="shared" si="3"/>
        <v>0</v>
      </c>
      <c r="AG54" s="235"/>
      <c r="AH54" s="236">
        <f t="shared" si="6"/>
        <v>0</v>
      </c>
      <c r="AI54" s="236"/>
      <c r="AK54" s="240"/>
    </row>
    <row r="55" spans="1:37" x14ac:dyDescent="0.2">
      <c r="A55" s="512"/>
      <c r="B55" s="234" t="s">
        <v>234</v>
      </c>
      <c r="C55" s="235">
        <f t="shared" si="11"/>
        <v>7877.0419250000041</v>
      </c>
      <c r="D55" s="235">
        <f t="shared" si="7"/>
        <v>131.28403208333341</v>
      </c>
      <c r="E55" s="235">
        <f t="shared" si="8"/>
        <v>70.964341666666684</v>
      </c>
      <c r="F55" s="236">
        <f t="shared" si="0"/>
        <v>202.2483737500001</v>
      </c>
      <c r="G55" s="238"/>
      <c r="H55" s="514"/>
      <c r="I55" s="234" t="s">
        <v>234</v>
      </c>
      <c r="J55" s="235">
        <f t="shared" si="12"/>
        <v>842.57695000000012</v>
      </c>
      <c r="K55" s="235">
        <f t="shared" si="9"/>
        <v>14.042949166666668</v>
      </c>
      <c r="L55" s="235">
        <f t="shared" si="10"/>
        <v>7.5907833333333334</v>
      </c>
      <c r="M55" s="236">
        <f t="shared" si="1"/>
        <v>21.633732500000001</v>
      </c>
      <c r="N55" s="236"/>
      <c r="O55" s="512"/>
      <c r="P55" s="234" t="s">
        <v>234</v>
      </c>
      <c r="Q55" s="235"/>
      <c r="R55" s="235"/>
      <c r="S55" s="235"/>
      <c r="T55" s="236">
        <f t="shared" si="4"/>
        <v>0</v>
      </c>
      <c r="U55" s="236"/>
      <c r="V55" s="512"/>
      <c r="W55" s="234" t="s">
        <v>234</v>
      </c>
      <c r="X55" s="235"/>
      <c r="Y55" s="235">
        <f t="shared" si="2"/>
        <v>0</v>
      </c>
      <c r="Z55" s="235"/>
      <c r="AA55" s="236">
        <f t="shared" si="5"/>
        <v>0</v>
      </c>
      <c r="AB55" s="236"/>
      <c r="AC55" s="512"/>
      <c r="AD55" s="234" t="s">
        <v>234</v>
      </c>
      <c r="AE55" s="235"/>
      <c r="AF55" s="235">
        <f t="shared" si="3"/>
        <v>0</v>
      </c>
      <c r="AG55" s="235"/>
      <c r="AH55" s="236">
        <f t="shared" si="6"/>
        <v>0</v>
      </c>
      <c r="AI55" s="236"/>
      <c r="AK55" s="240"/>
    </row>
    <row r="56" spans="1:37" x14ac:dyDescent="0.2">
      <c r="A56" s="512"/>
      <c r="B56" s="234" t="s">
        <v>235</v>
      </c>
      <c r="C56" s="235">
        <f t="shared" si="11"/>
        <v>7806.0775833333373</v>
      </c>
      <c r="D56" s="235">
        <f t="shared" si="7"/>
        <v>130.10129305555563</v>
      </c>
      <c r="E56" s="235">
        <f t="shared" si="8"/>
        <v>70.964341666666684</v>
      </c>
      <c r="F56" s="236">
        <f t="shared" si="0"/>
        <v>201.06563472222231</v>
      </c>
      <c r="G56" s="238"/>
      <c r="H56" s="514"/>
      <c r="I56" s="234" t="s">
        <v>235</v>
      </c>
      <c r="J56" s="235">
        <f t="shared" si="12"/>
        <v>834.9861666666668</v>
      </c>
      <c r="K56" s="235">
        <f t="shared" si="9"/>
        <v>13.916436111111116</v>
      </c>
      <c r="L56" s="235">
        <f t="shared" si="10"/>
        <v>7.5907833333333334</v>
      </c>
      <c r="M56" s="236">
        <f t="shared" si="1"/>
        <v>21.507219444444448</v>
      </c>
      <c r="N56" s="236"/>
      <c r="O56" s="512"/>
      <c r="P56" s="234" t="s">
        <v>235</v>
      </c>
      <c r="Q56" s="235"/>
      <c r="R56" s="235"/>
      <c r="S56" s="235"/>
      <c r="T56" s="236">
        <f t="shared" si="4"/>
        <v>0</v>
      </c>
      <c r="U56" s="236"/>
      <c r="V56" s="512"/>
      <c r="W56" s="234" t="s">
        <v>235</v>
      </c>
      <c r="X56" s="235"/>
      <c r="Y56" s="235">
        <f t="shared" si="2"/>
        <v>0</v>
      </c>
      <c r="Z56" s="235"/>
      <c r="AA56" s="236">
        <f t="shared" si="5"/>
        <v>0</v>
      </c>
      <c r="AB56" s="236"/>
      <c r="AC56" s="512"/>
      <c r="AD56" s="234" t="s">
        <v>235</v>
      </c>
      <c r="AE56" s="235"/>
      <c r="AF56" s="235">
        <f t="shared" si="3"/>
        <v>0</v>
      </c>
      <c r="AG56" s="235"/>
      <c r="AH56" s="236">
        <f t="shared" si="6"/>
        <v>0</v>
      </c>
      <c r="AI56" s="236"/>
      <c r="AK56" s="240"/>
    </row>
    <row r="57" spans="1:37" x14ac:dyDescent="0.2">
      <c r="A57" s="512"/>
      <c r="B57" s="234" t="s">
        <v>236</v>
      </c>
      <c r="C57" s="235">
        <f t="shared" si="11"/>
        <v>7735.1132416666705</v>
      </c>
      <c r="D57" s="235">
        <f t="shared" si="7"/>
        <v>128.91855402777784</v>
      </c>
      <c r="E57" s="235">
        <f t="shared" si="8"/>
        <v>70.964341666666684</v>
      </c>
      <c r="F57" s="236">
        <f t="shared" si="0"/>
        <v>199.88289569444453</v>
      </c>
      <c r="G57" s="239">
        <f>SUM(D46:D57)</f>
        <v>1625.0834241666673</v>
      </c>
      <c r="H57" s="515"/>
      <c r="I57" s="234" t="s">
        <v>236</v>
      </c>
      <c r="J57" s="235">
        <f t="shared" si="12"/>
        <v>827.39538333333348</v>
      </c>
      <c r="K57" s="235">
        <f t="shared" si="9"/>
        <v>13.78992305555556</v>
      </c>
      <c r="L57" s="235">
        <f t="shared" si="10"/>
        <v>7.5907833333333334</v>
      </c>
      <c r="M57" s="236">
        <f t="shared" si="1"/>
        <v>21.380706388888893</v>
      </c>
      <c r="N57" s="239">
        <f>SUM(K46:K57)</f>
        <v>173.82893833333338</v>
      </c>
      <c r="O57" s="512"/>
      <c r="P57" s="234" t="s">
        <v>236</v>
      </c>
      <c r="Q57" s="235"/>
      <c r="R57" s="235"/>
      <c r="S57" s="235"/>
      <c r="T57" s="236">
        <f t="shared" si="4"/>
        <v>0</v>
      </c>
      <c r="U57" s="239">
        <f>SUM(R46:R57)</f>
        <v>0</v>
      </c>
      <c r="V57" s="512"/>
      <c r="W57" s="234" t="s">
        <v>236</v>
      </c>
      <c r="X57" s="235"/>
      <c r="Y57" s="235">
        <f t="shared" si="2"/>
        <v>0</v>
      </c>
      <c r="Z57" s="235"/>
      <c r="AA57" s="236">
        <f t="shared" si="5"/>
        <v>0</v>
      </c>
      <c r="AB57" s="239">
        <f>SUM(Y46:Y57)</f>
        <v>0</v>
      </c>
      <c r="AC57" s="512"/>
      <c r="AD57" s="234" t="s">
        <v>236</v>
      </c>
      <c r="AE57" s="235"/>
      <c r="AF57" s="235">
        <f t="shared" si="3"/>
        <v>0</v>
      </c>
      <c r="AG57" s="235"/>
      <c r="AH57" s="236">
        <f t="shared" si="6"/>
        <v>0</v>
      </c>
      <c r="AI57" s="239">
        <f>SUM(AF46:AF57)</f>
        <v>0</v>
      </c>
      <c r="AJ57" s="208">
        <f>AJ45+1</f>
        <v>2025</v>
      </c>
      <c r="AK57" s="240">
        <f>G57+N57+U57+AB57+AI57</f>
        <v>1798.9123625000007</v>
      </c>
    </row>
    <row r="58" spans="1:37" x14ac:dyDescent="0.2">
      <c r="A58" s="512">
        <f>A46+1</f>
        <v>2026</v>
      </c>
      <c r="B58" s="234" t="s">
        <v>225</v>
      </c>
      <c r="C58" s="235">
        <f t="shared" si="11"/>
        <v>7664.1489000000038</v>
      </c>
      <c r="D58" s="235">
        <f t="shared" si="7"/>
        <v>127.73581500000007</v>
      </c>
      <c r="E58" s="235">
        <f t="shared" si="8"/>
        <v>70.964341666666684</v>
      </c>
      <c r="F58" s="236">
        <f t="shared" si="0"/>
        <v>198.70015666666677</v>
      </c>
      <c r="G58" s="237"/>
      <c r="H58" s="513">
        <f>H46+1</f>
        <v>2026</v>
      </c>
      <c r="I58" s="234" t="s">
        <v>225</v>
      </c>
      <c r="J58" s="235">
        <f t="shared" si="12"/>
        <v>819.80460000000016</v>
      </c>
      <c r="K58" s="235">
        <f t="shared" si="9"/>
        <v>13.663410000000004</v>
      </c>
      <c r="L58" s="235">
        <f t="shared" si="10"/>
        <v>7.5907833333333334</v>
      </c>
      <c r="M58" s="236">
        <f t="shared" si="1"/>
        <v>21.254193333333337</v>
      </c>
      <c r="N58" s="236"/>
      <c r="O58" s="512">
        <f>O46+1</f>
        <v>2026</v>
      </c>
      <c r="P58" s="234" t="s">
        <v>225</v>
      </c>
      <c r="Q58" s="235"/>
      <c r="R58" s="235"/>
      <c r="S58" s="235"/>
      <c r="T58" s="236">
        <f t="shared" si="4"/>
        <v>0</v>
      </c>
      <c r="U58" s="236"/>
      <c r="V58" s="512">
        <f>V46+1</f>
        <v>2025</v>
      </c>
      <c r="W58" s="234" t="s">
        <v>225</v>
      </c>
      <c r="X58" s="235"/>
      <c r="Y58" s="235">
        <f t="shared" si="2"/>
        <v>0</v>
      </c>
      <c r="Z58" s="235"/>
      <c r="AA58" s="236">
        <f t="shared" si="5"/>
        <v>0</v>
      </c>
      <c r="AB58" s="236"/>
      <c r="AC58" s="512">
        <f>AC46+1</f>
        <v>2025</v>
      </c>
      <c r="AD58" s="234" t="s">
        <v>225</v>
      </c>
      <c r="AE58" s="235"/>
      <c r="AF58" s="235">
        <f t="shared" si="3"/>
        <v>0</v>
      </c>
      <c r="AG58" s="235"/>
      <c r="AH58" s="236">
        <f t="shared" si="6"/>
        <v>0</v>
      </c>
      <c r="AI58" s="236"/>
      <c r="AK58" s="240"/>
    </row>
    <row r="59" spans="1:37" x14ac:dyDescent="0.2">
      <c r="A59" s="512"/>
      <c r="B59" s="234" t="s">
        <v>226</v>
      </c>
      <c r="C59" s="235">
        <f t="shared" si="11"/>
        <v>7593.184558333337</v>
      </c>
      <c r="D59" s="235">
        <f t="shared" si="7"/>
        <v>126.55307597222229</v>
      </c>
      <c r="E59" s="235">
        <f t="shared" si="8"/>
        <v>70.964341666666684</v>
      </c>
      <c r="F59" s="236">
        <f t="shared" si="0"/>
        <v>197.51741763888896</v>
      </c>
      <c r="G59" s="238"/>
      <c r="H59" s="514"/>
      <c r="I59" s="234" t="s">
        <v>226</v>
      </c>
      <c r="J59" s="235">
        <f t="shared" si="12"/>
        <v>812.21381666666684</v>
      </c>
      <c r="K59" s="235">
        <f t="shared" si="9"/>
        <v>13.536896944444448</v>
      </c>
      <c r="L59" s="235">
        <f t="shared" si="10"/>
        <v>7.5907833333333334</v>
      </c>
      <c r="M59" s="236">
        <f t="shared" si="1"/>
        <v>21.127680277777781</v>
      </c>
      <c r="N59" s="236"/>
      <c r="O59" s="512"/>
      <c r="P59" s="234" t="s">
        <v>226</v>
      </c>
      <c r="Q59" s="235"/>
      <c r="R59" s="235"/>
      <c r="S59" s="235"/>
      <c r="T59" s="236">
        <f t="shared" si="4"/>
        <v>0</v>
      </c>
      <c r="U59" s="236"/>
      <c r="V59" s="512"/>
      <c r="W59" s="234" t="s">
        <v>226</v>
      </c>
      <c r="X59" s="235"/>
      <c r="Y59" s="235">
        <f t="shared" si="2"/>
        <v>0</v>
      </c>
      <c r="Z59" s="235"/>
      <c r="AA59" s="236">
        <f t="shared" si="5"/>
        <v>0</v>
      </c>
      <c r="AB59" s="236"/>
      <c r="AC59" s="512"/>
      <c r="AD59" s="234" t="s">
        <v>226</v>
      </c>
      <c r="AE59" s="235"/>
      <c r="AF59" s="235">
        <f t="shared" si="3"/>
        <v>0</v>
      </c>
      <c r="AG59" s="235"/>
      <c r="AH59" s="236">
        <f t="shared" si="6"/>
        <v>0</v>
      </c>
      <c r="AI59" s="236"/>
      <c r="AK59" s="240"/>
    </row>
    <row r="60" spans="1:37" x14ac:dyDescent="0.2">
      <c r="A60" s="512"/>
      <c r="B60" s="234" t="s">
        <v>227</v>
      </c>
      <c r="C60" s="235">
        <f t="shared" si="11"/>
        <v>7522.2202166666702</v>
      </c>
      <c r="D60" s="235">
        <f t="shared" si="7"/>
        <v>125.3703369444445</v>
      </c>
      <c r="E60" s="235">
        <f t="shared" si="8"/>
        <v>70.964341666666684</v>
      </c>
      <c r="F60" s="236">
        <f t="shared" si="0"/>
        <v>196.3346786111112</v>
      </c>
      <c r="G60" s="238"/>
      <c r="H60" s="514"/>
      <c r="I60" s="234" t="s">
        <v>227</v>
      </c>
      <c r="J60" s="235">
        <f t="shared" si="12"/>
        <v>804.62303333333352</v>
      </c>
      <c r="K60" s="235">
        <f t="shared" si="9"/>
        <v>13.410383888888893</v>
      </c>
      <c r="L60" s="235">
        <f t="shared" si="10"/>
        <v>7.5907833333333334</v>
      </c>
      <c r="M60" s="236">
        <f t="shared" si="1"/>
        <v>21.001167222222225</v>
      </c>
      <c r="N60" s="236"/>
      <c r="O60" s="512"/>
      <c r="P60" s="234" t="s">
        <v>227</v>
      </c>
      <c r="Q60" s="235"/>
      <c r="R60" s="235"/>
      <c r="S60" s="235"/>
      <c r="T60" s="236">
        <f t="shared" si="4"/>
        <v>0</v>
      </c>
      <c r="U60" s="236"/>
      <c r="V60" s="512"/>
      <c r="W60" s="234" t="s">
        <v>227</v>
      </c>
      <c r="X60" s="235"/>
      <c r="Y60" s="235">
        <f t="shared" si="2"/>
        <v>0</v>
      </c>
      <c r="Z60" s="235"/>
      <c r="AA60" s="236">
        <f t="shared" si="5"/>
        <v>0</v>
      </c>
      <c r="AB60" s="236"/>
      <c r="AC60" s="512"/>
      <c r="AD60" s="234" t="s">
        <v>227</v>
      </c>
      <c r="AE60" s="235"/>
      <c r="AF60" s="235">
        <f t="shared" si="3"/>
        <v>0</v>
      </c>
      <c r="AG60" s="235"/>
      <c r="AH60" s="236">
        <f t="shared" si="6"/>
        <v>0</v>
      </c>
      <c r="AI60" s="236"/>
      <c r="AK60" s="240"/>
    </row>
    <row r="61" spans="1:37" x14ac:dyDescent="0.2">
      <c r="A61" s="512"/>
      <c r="B61" s="234" t="s">
        <v>228</v>
      </c>
      <c r="C61" s="235">
        <f t="shared" si="11"/>
        <v>7451.2558750000035</v>
      </c>
      <c r="D61" s="235">
        <f t="shared" si="7"/>
        <v>124.18759791666673</v>
      </c>
      <c r="E61" s="235">
        <f t="shared" si="8"/>
        <v>70.964341666666684</v>
      </c>
      <c r="F61" s="236">
        <f t="shared" si="0"/>
        <v>195.15193958333342</v>
      </c>
      <c r="G61" s="238"/>
      <c r="H61" s="514"/>
      <c r="I61" s="234" t="s">
        <v>228</v>
      </c>
      <c r="J61" s="235">
        <f t="shared" si="12"/>
        <v>797.0322500000002</v>
      </c>
      <c r="K61" s="235">
        <f t="shared" si="9"/>
        <v>13.283870833333339</v>
      </c>
      <c r="L61" s="235">
        <f t="shared" si="10"/>
        <v>7.5907833333333334</v>
      </c>
      <c r="M61" s="236">
        <f t="shared" si="1"/>
        <v>20.874654166666673</v>
      </c>
      <c r="N61" s="236"/>
      <c r="O61" s="512"/>
      <c r="P61" s="234" t="s">
        <v>228</v>
      </c>
      <c r="Q61" s="235"/>
      <c r="R61" s="235"/>
      <c r="S61" s="235"/>
      <c r="T61" s="236">
        <f t="shared" si="4"/>
        <v>0</v>
      </c>
      <c r="U61" s="236"/>
      <c r="V61" s="512"/>
      <c r="W61" s="234" t="s">
        <v>228</v>
      </c>
      <c r="X61" s="235"/>
      <c r="Y61" s="235">
        <f t="shared" si="2"/>
        <v>0</v>
      </c>
      <c r="Z61" s="235"/>
      <c r="AA61" s="236">
        <f t="shared" si="5"/>
        <v>0</v>
      </c>
      <c r="AB61" s="236"/>
      <c r="AC61" s="512"/>
      <c r="AD61" s="234" t="s">
        <v>228</v>
      </c>
      <c r="AE61" s="235"/>
      <c r="AF61" s="235">
        <f t="shared" si="3"/>
        <v>0</v>
      </c>
      <c r="AG61" s="235"/>
      <c r="AH61" s="236">
        <f t="shared" si="6"/>
        <v>0</v>
      </c>
      <c r="AI61" s="236"/>
      <c r="AK61" s="240"/>
    </row>
    <row r="62" spans="1:37" x14ac:dyDescent="0.2">
      <c r="A62" s="512"/>
      <c r="B62" s="234" t="s">
        <v>229</v>
      </c>
      <c r="C62" s="235">
        <f t="shared" si="11"/>
        <v>7380.2915333333367</v>
      </c>
      <c r="D62" s="235">
        <f t="shared" si="7"/>
        <v>123.00485888888896</v>
      </c>
      <c r="E62" s="235">
        <f t="shared" si="8"/>
        <v>70.964341666666684</v>
      </c>
      <c r="F62" s="236">
        <f t="shared" si="0"/>
        <v>193.96920055555563</v>
      </c>
      <c r="G62" s="238"/>
      <c r="H62" s="514"/>
      <c r="I62" s="234" t="s">
        <v>229</v>
      </c>
      <c r="J62" s="235">
        <f t="shared" si="12"/>
        <v>789.44146666666688</v>
      </c>
      <c r="K62" s="235">
        <f t="shared" si="9"/>
        <v>13.157357777777783</v>
      </c>
      <c r="L62" s="235">
        <f t="shared" si="10"/>
        <v>7.5907833333333334</v>
      </c>
      <c r="M62" s="236">
        <f t="shared" si="1"/>
        <v>20.748141111111117</v>
      </c>
      <c r="N62" s="236"/>
      <c r="O62" s="512"/>
      <c r="P62" s="234" t="s">
        <v>229</v>
      </c>
      <c r="Q62" s="235"/>
      <c r="R62" s="235"/>
      <c r="S62" s="235"/>
      <c r="T62" s="236">
        <f t="shared" si="4"/>
        <v>0</v>
      </c>
      <c r="U62" s="236"/>
      <c r="V62" s="512"/>
      <c r="W62" s="234" t="s">
        <v>229</v>
      </c>
      <c r="X62" s="235"/>
      <c r="Y62" s="235">
        <f t="shared" si="2"/>
        <v>0</v>
      </c>
      <c r="Z62" s="235"/>
      <c r="AA62" s="236">
        <f t="shared" si="5"/>
        <v>0</v>
      </c>
      <c r="AB62" s="236"/>
      <c r="AC62" s="512"/>
      <c r="AD62" s="234" t="s">
        <v>229</v>
      </c>
      <c r="AE62" s="235"/>
      <c r="AF62" s="235">
        <f t="shared" si="3"/>
        <v>0</v>
      </c>
      <c r="AG62" s="235"/>
      <c r="AH62" s="236">
        <f t="shared" si="6"/>
        <v>0</v>
      </c>
      <c r="AI62" s="236"/>
      <c r="AK62" s="240"/>
    </row>
    <row r="63" spans="1:37" x14ac:dyDescent="0.2">
      <c r="A63" s="512"/>
      <c r="B63" s="234" t="s">
        <v>230</v>
      </c>
      <c r="C63" s="235">
        <f t="shared" si="11"/>
        <v>7309.3271916666699</v>
      </c>
      <c r="D63" s="235">
        <f t="shared" si="7"/>
        <v>121.82211986111118</v>
      </c>
      <c r="E63" s="235">
        <f t="shared" si="8"/>
        <v>70.964341666666684</v>
      </c>
      <c r="F63" s="236">
        <f t="shared" si="0"/>
        <v>192.78646152777787</v>
      </c>
      <c r="G63" s="238"/>
      <c r="H63" s="514"/>
      <c r="I63" s="234" t="s">
        <v>230</v>
      </c>
      <c r="J63" s="235">
        <f t="shared" si="12"/>
        <v>781.85068333333356</v>
      </c>
      <c r="K63" s="235">
        <f t="shared" si="9"/>
        <v>13.030844722222227</v>
      </c>
      <c r="L63" s="235">
        <f t="shared" si="10"/>
        <v>7.5907833333333334</v>
      </c>
      <c r="M63" s="236">
        <f t="shared" si="1"/>
        <v>20.621628055555561</v>
      </c>
      <c r="N63" s="236"/>
      <c r="O63" s="512"/>
      <c r="P63" s="234" t="s">
        <v>230</v>
      </c>
      <c r="Q63" s="235"/>
      <c r="R63" s="235"/>
      <c r="S63" s="235"/>
      <c r="T63" s="236">
        <f t="shared" si="4"/>
        <v>0</v>
      </c>
      <c r="U63" s="236"/>
      <c r="V63" s="512"/>
      <c r="W63" s="234" t="s">
        <v>230</v>
      </c>
      <c r="X63" s="235"/>
      <c r="Y63" s="235">
        <f t="shared" si="2"/>
        <v>0</v>
      </c>
      <c r="Z63" s="235"/>
      <c r="AA63" s="236">
        <f t="shared" si="5"/>
        <v>0</v>
      </c>
      <c r="AB63" s="236"/>
      <c r="AC63" s="512"/>
      <c r="AD63" s="234" t="s">
        <v>230</v>
      </c>
      <c r="AE63" s="235"/>
      <c r="AF63" s="235">
        <f t="shared" si="3"/>
        <v>0</v>
      </c>
      <c r="AG63" s="235"/>
      <c r="AH63" s="236">
        <f t="shared" si="6"/>
        <v>0</v>
      </c>
      <c r="AI63" s="236"/>
      <c r="AK63" s="240"/>
    </row>
    <row r="64" spans="1:37" x14ac:dyDescent="0.2">
      <c r="A64" s="512"/>
      <c r="B64" s="234" t="s">
        <v>231</v>
      </c>
      <c r="C64" s="235">
        <f t="shared" si="11"/>
        <v>7238.3628500000032</v>
      </c>
      <c r="D64" s="235">
        <f t="shared" si="7"/>
        <v>120.63938083333339</v>
      </c>
      <c r="E64" s="235">
        <f t="shared" si="8"/>
        <v>70.964341666666684</v>
      </c>
      <c r="F64" s="236">
        <f t="shared" si="0"/>
        <v>191.60372250000006</v>
      </c>
      <c r="G64" s="238"/>
      <c r="H64" s="514"/>
      <c r="I64" s="234" t="s">
        <v>231</v>
      </c>
      <c r="J64" s="235">
        <f t="shared" si="12"/>
        <v>774.25990000000024</v>
      </c>
      <c r="K64" s="235">
        <f t="shared" si="9"/>
        <v>12.904331666666671</v>
      </c>
      <c r="L64" s="235">
        <f t="shared" si="10"/>
        <v>7.5907833333333334</v>
      </c>
      <c r="M64" s="236">
        <f t="shared" si="1"/>
        <v>20.495115000000006</v>
      </c>
      <c r="N64" s="236"/>
      <c r="O64" s="512"/>
      <c r="P64" s="234" t="s">
        <v>231</v>
      </c>
      <c r="Q64" s="235"/>
      <c r="R64" s="235"/>
      <c r="S64" s="235"/>
      <c r="T64" s="236">
        <f t="shared" si="4"/>
        <v>0</v>
      </c>
      <c r="U64" s="236"/>
      <c r="V64" s="512"/>
      <c r="W64" s="234" t="s">
        <v>231</v>
      </c>
      <c r="X64" s="235"/>
      <c r="Y64" s="235">
        <f t="shared" si="2"/>
        <v>0</v>
      </c>
      <c r="Z64" s="235"/>
      <c r="AA64" s="236">
        <f t="shared" si="5"/>
        <v>0</v>
      </c>
      <c r="AB64" s="236"/>
      <c r="AC64" s="512"/>
      <c r="AD64" s="234" t="s">
        <v>231</v>
      </c>
      <c r="AE64" s="235"/>
      <c r="AF64" s="235">
        <f t="shared" si="3"/>
        <v>0</v>
      </c>
      <c r="AG64" s="235"/>
      <c r="AH64" s="236">
        <f t="shared" si="6"/>
        <v>0</v>
      </c>
      <c r="AI64" s="236"/>
      <c r="AK64" s="240"/>
    </row>
    <row r="65" spans="1:37" x14ac:dyDescent="0.2">
      <c r="A65" s="512"/>
      <c r="B65" s="234" t="s">
        <v>232</v>
      </c>
      <c r="C65" s="235">
        <f t="shared" si="11"/>
        <v>7167.3985083333364</v>
      </c>
      <c r="D65" s="235">
        <f t="shared" si="7"/>
        <v>119.45664180555561</v>
      </c>
      <c r="E65" s="235">
        <f t="shared" si="8"/>
        <v>70.964341666666684</v>
      </c>
      <c r="F65" s="236">
        <f t="shared" si="0"/>
        <v>190.4209834722223</v>
      </c>
      <c r="G65" s="238"/>
      <c r="H65" s="514"/>
      <c r="I65" s="234" t="s">
        <v>232</v>
      </c>
      <c r="J65" s="235">
        <f t="shared" si="12"/>
        <v>766.66911666666692</v>
      </c>
      <c r="K65" s="235">
        <f t="shared" si="9"/>
        <v>12.777818611111115</v>
      </c>
      <c r="L65" s="235">
        <f t="shared" si="10"/>
        <v>7.5907833333333334</v>
      </c>
      <c r="M65" s="236">
        <f t="shared" si="1"/>
        <v>20.36860194444445</v>
      </c>
      <c r="N65" s="236"/>
      <c r="O65" s="512"/>
      <c r="P65" s="234" t="s">
        <v>232</v>
      </c>
      <c r="Q65" s="235"/>
      <c r="R65" s="235"/>
      <c r="S65" s="235"/>
      <c r="T65" s="236">
        <f t="shared" si="4"/>
        <v>0</v>
      </c>
      <c r="U65" s="236"/>
      <c r="V65" s="512"/>
      <c r="W65" s="234" t="s">
        <v>232</v>
      </c>
      <c r="X65" s="235"/>
      <c r="Y65" s="235">
        <f t="shared" si="2"/>
        <v>0</v>
      </c>
      <c r="Z65" s="235"/>
      <c r="AA65" s="236">
        <f t="shared" si="5"/>
        <v>0</v>
      </c>
      <c r="AB65" s="236"/>
      <c r="AC65" s="512"/>
      <c r="AD65" s="234" t="s">
        <v>232</v>
      </c>
      <c r="AE65" s="235"/>
      <c r="AF65" s="235">
        <f t="shared" si="3"/>
        <v>0</v>
      </c>
      <c r="AG65" s="235"/>
      <c r="AH65" s="236">
        <f t="shared" si="6"/>
        <v>0</v>
      </c>
      <c r="AI65" s="236"/>
      <c r="AK65" s="240"/>
    </row>
    <row r="66" spans="1:37" x14ac:dyDescent="0.2">
      <c r="A66" s="512"/>
      <c r="B66" s="234" t="s">
        <v>233</v>
      </c>
      <c r="C66" s="235">
        <f t="shared" si="11"/>
        <v>7096.4341666666696</v>
      </c>
      <c r="D66" s="235">
        <f t="shared" si="7"/>
        <v>118.27390277777783</v>
      </c>
      <c r="E66" s="235">
        <f t="shared" si="8"/>
        <v>70.964341666666684</v>
      </c>
      <c r="F66" s="236">
        <f t="shared" si="0"/>
        <v>189.23824444444452</v>
      </c>
      <c r="G66" s="238"/>
      <c r="H66" s="514"/>
      <c r="I66" s="234" t="s">
        <v>233</v>
      </c>
      <c r="J66" s="235">
        <f t="shared" si="12"/>
        <v>759.0783333333336</v>
      </c>
      <c r="K66" s="235">
        <f t="shared" si="9"/>
        <v>12.65130555555556</v>
      </c>
      <c r="L66" s="235">
        <f t="shared" si="10"/>
        <v>7.5907833333333334</v>
      </c>
      <c r="M66" s="236">
        <f t="shared" si="1"/>
        <v>20.242088888888894</v>
      </c>
      <c r="N66" s="236"/>
      <c r="O66" s="512"/>
      <c r="P66" s="234" t="s">
        <v>233</v>
      </c>
      <c r="Q66" s="235"/>
      <c r="R66" s="235"/>
      <c r="S66" s="235"/>
      <c r="T66" s="236">
        <f t="shared" si="4"/>
        <v>0</v>
      </c>
      <c r="U66" s="236"/>
      <c r="V66" s="512"/>
      <c r="W66" s="234" t="s">
        <v>233</v>
      </c>
      <c r="X66" s="235"/>
      <c r="Y66" s="235">
        <f t="shared" si="2"/>
        <v>0</v>
      </c>
      <c r="Z66" s="235"/>
      <c r="AA66" s="236">
        <f t="shared" si="5"/>
        <v>0</v>
      </c>
      <c r="AB66" s="236"/>
      <c r="AC66" s="512"/>
      <c r="AD66" s="234" t="s">
        <v>233</v>
      </c>
      <c r="AE66" s="235"/>
      <c r="AF66" s="235">
        <f t="shared" si="3"/>
        <v>0</v>
      </c>
      <c r="AG66" s="235"/>
      <c r="AH66" s="236">
        <f t="shared" si="6"/>
        <v>0</v>
      </c>
      <c r="AI66" s="236"/>
      <c r="AK66" s="240"/>
    </row>
    <row r="67" spans="1:37" x14ac:dyDescent="0.2">
      <c r="A67" s="512"/>
      <c r="B67" s="234" t="s">
        <v>234</v>
      </c>
      <c r="C67" s="235">
        <f t="shared" si="11"/>
        <v>7025.4698250000029</v>
      </c>
      <c r="D67" s="235">
        <f t="shared" si="7"/>
        <v>117.09116375000006</v>
      </c>
      <c r="E67" s="235">
        <f t="shared" si="8"/>
        <v>70.964341666666684</v>
      </c>
      <c r="F67" s="236">
        <f t="shared" si="0"/>
        <v>188.05550541666673</v>
      </c>
      <c r="G67" s="238"/>
      <c r="H67" s="514"/>
      <c r="I67" s="234" t="s">
        <v>234</v>
      </c>
      <c r="J67" s="235">
        <f t="shared" si="12"/>
        <v>751.48755000000028</v>
      </c>
      <c r="K67" s="235">
        <f t="shared" si="9"/>
        <v>12.524792500000006</v>
      </c>
      <c r="L67" s="235">
        <f t="shared" si="10"/>
        <v>7.5907833333333334</v>
      </c>
      <c r="M67" s="236">
        <f t="shared" si="1"/>
        <v>20.115575833333338</v>
      </c>
      <c r="N67" s="236"/>
      <c r="O67" s="512"/>
      <c r="P67" s="234" t="s">
        <v>234</v>
      </c>
      <c r="Q67" s="235"/>
      <c r="R67" s="235"/>
      <c r="S67" s="235"/>
      <c r="T67" s="236">
        <f t="shared" si="4"/>
        <v>0</v>
      </c>
      <c r="U67" s="236"/>
      <c r="V67" s="512"/>
      <c r="W67" s="234" t="s">
        <v>234</v>
      </c>
      <c r="X67" s="235"/>
      <c r="Y67" s="235">
        <f t="shared" si="2"/>
        <v>0</v>
      </c>
      <c r="Z67" s="235"/>
      <c r="AA67" s="236">
        <f t="shared" si="5"/>
        <v>0</v>
      </c>
      <c r="AB67" s="236"/>
      <c r="AC67" s="512"/>
      <c r="AD67" s="234" t="s">
        <v>234</v>
      </c>
      <c r="AE67" s="235"/>
      <c r="AF67" s="235">
        <f t="shared" si="3"/>
        <v>0</v>
      </c>
      <c r="AG67" s="235"/>
      <c r="AH67" s="236">
        <f t="shared" si="6"/>
        <v>0</v>
      </c>
      <c r="AI67" s="236"/>
      <c r="AK67" s="240"/>
    </row>
    <row r="68" spans="1:37" x14ac:dyDescent="0.2">
      <c r="A68" s="512"/>
      <c r="B68" s="244" t="s">
        <v>235</v>
      </c>
      <c r="C68" s="245">
        <f>C67-E67-C8</f>
        <v>82.648816666669518</v>
      </c>
      <c r="D68" s="245">
        <f>C68*$D$7/12</f>
        <v>1.3774802777778252</v>
      </c>
      <c r="E68" s="245">
        <f>$C$68/($D$8-23)</f>
        <v>0.8520496563574177</v>
      </c>
      <c r="F68" s="246">
        <f t="shared" si="0"/>
        <v>2.2295299341352428</v>
      </c>
      <c r="G68" s="238"/>
      <c r="H68" s="514"/>
      <c r="I68" s="234" t="s">
        <v>235</v>
      </c>
      <c r="J68" s="235">
        <f t="shared" si="12"/>
        <v>743.89676666666696</v>
      </c>
      <c r="K68" s="235">
        <f t="shared" si="9"/>
        <v>12.39827944444445</v>
      </c>
      <c r="L68" s="235">
        <f t="shared" si="10"/>
        <v>7.5907833333333334</v>
      </c>
      <c r="M68" s="236">
        <f t="shared" si="1"/>
        <v>19.989062777777782</v>
      </c>
      <c r="N68" s="236"/>
      <c r="O68" s="512"/>
      <c r="P68" s="234" t="s">
        <v>235</v>
      </c>
      <c r="Q68" s="235"/>
      <c r="R68" s="235"/>
      <c r="S68" s="235"/>
      <c r="T68" s="236">
        <f t="shared" si="4"/>
        <v>0</v>
      </c>
      <c r="U68" s="236"/>
      <c r="V68" s="512"/>
      <c r="W68" s="234" t="s">
        <v>235</v>
      </c>
      <c r="X68" s="235"/>
      <c r="Y68" s="235">
        <f t="shared" si="2"/>
        <v>0</v>
      </c>
      <c r="Z68" s="235"/>
      <c r="AA68" s="236">
        <f t="shared" si="5"/>
        <v>0</v>
      </c>
      <c r="AB68" s="236"/>
      <c r="AC68" s="512"/>
      <c r="AD68" s="234" t="s">
        <v>235</v>
      </c>
      <c r="AE68" s="235"/>
      <c r="AF68" s="235">
        <f t="shared" si="3"/>
        <v>0</v>
      </c>
      <c r="AG68" s="235"/>
      <c r="AH68" s="236">
        <f t="shared" si="6"/>
        <v>0</v>
      </c>
      <c r="AI68" s="236"/>
      <c r="AK68" s="240"/>
    </row>
    <row r="69" spans="1:37" x14ac:dyDescent="0.2">
      <c r="A69" s="512"/>
      <c r="B69" s="234" t="s">
        <v>236</v>
      </c>
      <c r="C69" s="235">
        <f t="shared" si="11"/>
        <v>81.796767010312095</v>
      </c>
      <c r="D69" s="235">
        <f t="shared" si="7"/>
        <v>1.3632794501718684</v>
      </c>
      <c r="E69" s="235">
        <f t="shared" ref="E69:E91" si="13">$C$68/($D$8-23)</f>
        <v>0.8520496563574177</v>
      </c>
      <c r="F69" s="236">
        <f t="shared" si="0"/>
        <v>2.2153291065292859</v>
      </c>
      <c r="G69" s="239">
        <f>SUM(D58:D69)</f>
        <v>1226.8756534779502</v>
      </c>
      <c r="H69" s="515"/>
      <c r="I69" s="234" t="s">
        <v>236</v>
      </c>
      <c r="J69" s="235">
        <f t="shared" si="12"/>
        <v>736.30598333333364</v>
      </c>
      <c r="K69" s="235">
        <f t="shared" si="9"/>
        <v>12.271766388888894</v>
      </c>
      <c r="L69" s="235">
        <f t="shared" si="10"/>
        <v>7.5907833333333334</v>
      </c>
      <c r="M69" s="236">
        <f t="shared" si="1"/>
        <v>19.862549722222226</v>
      </c>
      <c r="N69" s="239">
        <f>SUM(K58:K69)</f>
        <v>155.6110583333334</v>
      </c>
      <c r="O69" s="512"/>
      <c r="P69" s="234" t="s">
        <v>236</v>
      </c>
      <c r="Q69" s="235"/>
      <c r="R69" s="235"/>
      <c r="S69" s="235"/>
      <c r="T69" s="236">
        <f t="shared" si="4"/>
        <v>0</v>
      </c>
      <c r="U69" s="239">
        <f>SUM(R58:R69)</f>
        <v>0</v>
      </c>
      <c r="V69" s="512"/>
      <c r="W69" s="234" t="s">
        <v>236</v>
      </c>
      <c r="X69" s="235"/>
      <c r="Y69" s="235">
        <f t="shared" si="2"/>
        <v>0</v>
      </c>
      <c r="Z69" s="235"/>
      <c r="AA69" s="236">
        <f t="shared" si="5"/>
        <v>0</v>
      </c>
      <c r="AB69" s="239">
        <f>SUM(Y58:Y69)</f>
        <v>0</v>
      </c>
      <c r="AC69" s="512"/>
      <c r="AD69" s="234" t="s">
        <v>236</v>
      </c>
      <c r="AE69" s="235"/>
      <c r="AF69" s="235">
        <f t="shared" si="3"/>
        <v>0</v>
      </c>
      <c r="AG69" s="235"/>
      <c r="AH69" s="236">
        <f t="shared" si="6"/>
        <v>0</v>
      </c>
      <c r="AI69" s="239">
        <f>SUM(AF58:AF69)</f>
        <v>0</v>
      </c>
      <c r="AJ69" s="208">
        <f>AJ57+1</f>
        <v>2026</v>
      </c>
      <c r="AK69" s="240">
        <f>G69+N69+U69+AB69+AI69</f>
        <v>1382.4867118112836</v>
      </c>
    </row>
    <row r="70" spans="1:37" x14ac:dyDescent="0.2">
      <c r="A70" s="512">
        <f>A58+1</f>
        <v>2027</v>
      </c>
      <c r="B70" s="234" t="s">
        <v>225</v>
      </c>
      <c r="C70" s="235">
        <f t="shared" si="11"/>
        <v>80.944717353954672</v>
      </c>
      <c r="D70" s="235">
        <f t="shared" si="7"/>
        <v>1.3490786225659113</v>
      </c>
      <c r="E70" s="235">
        <f t="shared" si="13"/>
        <v>0.8520496563574177</v>
      </c>
      <c r="F70" s="236">
        <f t="shared" si="0"/>
        <v>2.2011282789233291</v>
      </c>
      <c r="G70" s="237"/>
      <c r="H70" s="513">
        <f>H58+1</f>
        <v>2027</v>
      </c>
      <c r="I70" s="234" t="s">
        <v>225</v>
      </c>
      <c r="J70" s="235">
        <f t="shared" si="12"/>
        <v>728.71520000000032</v>
      </c>
      <c r="K70" s="235">
        <f t="shared" si="9"/>
        <v>12.145253333333338</v>
      </c>
      <c r="L70" s="235">
        <f t="shared" si="10"/>
        <v>7.5907833333333334</v>
      </c>
      <c r="M70" s="236">
        <f t="shared" si="1"/>
        <v>19.736036666666671</v>
      </c>
      <c r="N70" s="236"/>
      <c r="O70" s="512">
        <f>O58+1</f>
        <v>2027</v>
      </c>
      <c r="P70" s="234" t="s">
        <v>225</v>
      </c>
      <c r="Q70" s="235">
        <f>Q7-Q8</f>
        <v>786.22833333333335</v>
      </c>
      <c r="R70" s="235">
        <f t="shared" ref="R70:R133" si="14">Q70*$D$7/12</f>
        <v>13.103805555555558</v>
      </c>
      <c r="S70" s="235">
        <f t="shared" ref="S70:S133" si="15">$Q$7/R$8</f>
        <v>6.5519027777777783</v>
      </c>
      <c r="T70" s="236">
        <f t="shared" si="4"/>
        <v>19.655708333333337</v>
      </c>
      <c r="U70" s="236"/>
      <c r="V70" s="512">
        <f>V58+1</f>
        <v>2026</v>
      </c>
      <c r="W70" s="234" t="s">
        <v>225</v>
      </c>
      <c r="X70" s="235"/>
      <c r="Y70" s="235"/>
      <c r="Z70" s="235"/>
      <c r="AA70" s="236">
        <f t="shared" si="5"/>
        <v>0</v>
      </c>
      <c r="AB70" s="236"/>
      <c r="AC70" s="512">
        <f>AC58+1</f>
        <v>2026</v>
      </c>
      <c r="AD70" s="234" t="s">
        <v>225</v>
      </c>
      <c r="AE70" s="235"/>
      <c r="AF70" s="235"/>
      <c r="AG70" s="235"/>
      <c r="AH70" s="236">
        <f t="shared" si="6"/>
        <v>0</v>
      </c>
      <c r="AI70" s="236"/>
      <c r="AK70" s="240"/>
    </row>
    <row r="71" spans="1:37" x14ac:dyDescent="0.2">
      <c r="A71" s="512"/>
      <c r="B71" s="234" t="s">
        <v>226</v>
      </c>
      <c r="C71" s="235">
        <f t="shared" si="11"/>
        <v>80.09266769759725</v>
      </c>
      <c r="D71" s="235">
        <f t="shared" si="7"/>
        <v>1.3348777949599542</v>
      </c>
      <c r="E71" s="235">
        <f t="shared" si="13"/>
        <v>0.8520496563574177</v>
      </c>
      <c r="F71" s="236">
        <f t="shared" si="0"/>
        <v>2.1869274513173718</v>
      </c>
      <c r="G71" s="238"/>
      <c r="H71" s="514"/>
      <c r="I71" s="234" t="s">
        <v>226</v>
      </c>
      <c r="J71" s="235">
        <f t="shared" si="12"/>
        <v>721.124416666667</v>
      </c>
      <c r="K71" s="235">
        <f t="shared" si="9"/>
        <v>12.018740277777782</v>
      </c>
      <c r="L71" s="235">
        <f t="shared" si="10"/>
        <v>7.5907833333333334</v>
      </c>
      <c r="M71" s="236">
        <f t="shared" si="1"/>
        <v>19.609523611111115</v>
      </c>
      <c r="N71" s="236"/>
      <c r="O71" s="512"/>
      <c r="P71" s="234" t="s">
        <v>226</v>
      </c>
      <c r="Q71" s="235">
        <f t="shared" ref="Q71:Q134" si="16">Q70-S70</f>
        <v>779.67643055555561</v>
      </c>
      <c r="R71" s="235">
        <f t="shared" si="14"/>
        <v>12.994607175925928</v>
      </c>
      <c r="S71" s="235">
        <f t="shared" si="15"/>
        <v>6.5519027777777783</v>
      </c>
      <c r="T71" s="236">
        <f t="shared" si="4"/>
        <v>19.546509953703705</v>
      </c>
      <c r="U71" s="236"/>
      <c r="V71" s="512"/>
      <c r="W71" s="234" t="s">
        <v>226</v>
      </c>
      <c r="X71" s="235"/>
      <c r="Y71" s="235"/>
      <c r="Z71" s="235"/>
      <c r="AA71" s="236">
        <f t="shared" si="5"/>
        <v>0</v>
      </c>
      <c r="AB71" s="236"/>
      <c r="AC71" s="512"/>
      <c r="AD71" s="234" t="s">
        <v>226</v>
      </c>
      <c r="AE71" s="235"/>
      <c r="AF71" s="235"/>
      <c r="AG71" s="235"/>
      <c r="AH71" s="236">
        <f t="shared" si="6"/>
        <v>0</v>
      </c>
      <c r="AI71" s="236"/>
      <c r="AK71" s="240"/>
    </row>
    <row r="72" spans="1:37" x14ac:dyDescent="0.2">
      <c r="A72" s="512"/>
      <c r="B72" s="234" t="s">
        <v>227</v>
      </c>
      <c r="C72" s="235">
        <f t="shared" si="11"/>
        <v>79.240618041239827</v>
      </c>
      <c r="D72" s="235">
        <f t="shared" si="7"/>
        <v>1.3206769673539973</v>
      </c>
      <c r="E72" s="235">
        <f t="shared" si="13"/>
        <v>0.8520496563574177</v>
      </c>
      <c r="F72" s="236">
        <f t="shared" si="0"/>
        <v>2.1727266237114149</v>
      </c>
      <c r="G72" s="238"/>
      <c r="H72" s="514"/>
      <c r="I72" s="234" t="s">
        <v>227</v>
      </c>
      <c r="J72" s="235">
        <f t="shared" si="12"/>
        <v>713.53363333333368</v>
      </c>
      <c r="K72" s="235">
        <f t="shared" si="9"/>
        <v>11.89222722222223</v>
      </c>
      <c r="L72" s="235">
        <f t="shared" si="10"/>
        <v>7.5907833333333334</v>
      </c>
      <c r="M72" s="236">
        <f t="shared" si="1"/>
        <v>19.483010555555563</v>
      </c>
      <c r="N72" s="236"/>
      <c r="O72" s="512"/>
      <c r="P72" s="234" t="s">
        <v>227</v>
      </c>
      <c r="Q72" s="235">
        <f t="shared" si="16"/>
        <v>773.12452777777787</v>
      </c>
      <c r="R72" s="235">
        <f t="shared" si="14"/>
        <v>12.885408796296298</v>
      </c>
      <c r="S72" s="235">
        <f t="shared" si="15"/>
        <v>6.5519027777777783</v>
      </c>
      <c r="T72" s="236">
        <f t="shared" si="4"/>
        <v>19.437311574074077</v>
      </c>
      <c r="U72" s="236"/>
      <c r="V72" s="512"/>
      <c r="W72" s="234" t="s">
        <v>227</v>
      </c>
      <c r="X72" s="235"/>
      <c r="Y72" s="235"/>
      <c r="Z72" s="235"/>
      <c r="AA72" s="236">
        <f t="shared" si="5"/>
        <v>0</v>
      </c>
      <c r="AB72" s="236"/>
      <c r="AC72" s="512"/>
      <c r="AD72" s="234" t="s">
        <v>227</v>
      </c>
      <c r="AE72" s="235"/>
      <c r="AF72" s="235"/>
      <c r="AG72" s="235"/>
      <c r="AH72" s="236">
        <f t="shared" si="6"/>
        <v>0</v>
      </c>
      <c r="AI72" s="236"/>
      <c r="AK72" s="240"/>
    </row>
    <row r="73" spans="1:37" x14ac:dyDescent="0.2">
      <c r="A73" s="512"/>
      <c r="B73" s="234" t="s">
        <v>228</v>
      </c>
      <c r="C73" s="235">
        <f t="shared" si="11"/>
        <v>78.388568384882404</v>
      </c>
      <c r="D73" s="235">
        <f t="shared" si="7"/>
        <v>1.30647613974804</v>
      </c>
      <c r="E73" s="235">
        <f t="shared" si="13"/>
        <v>0.8520496563574177</v>
      </c>
      <c r="F73" s="236">
        <f t="shared" si="0"/>
        <v>2.1585257961054576</v>
      </c>
      <c r="G73" s="238"/>
      <c r="H73" s="514"/>
      <c r="I73" s="234" t="s">
        <v>228</v>
      </c>
      <c r="J73" s="235">
        <f t="shared" si="12"/>
        <v>705.94285000000036</v>
      </c>
      <c r="K73" s="235">
        <f t="shared" si="9"/>
        <v>11.765714166666674</v>
      </c>
      <c r="L73" s="235">
        <f t="shared" si="10"/>
        <v>7.5907833333333334</v>
      </c>
      <c r="M73" s="236">
        <f t="shared" si="1"/>
        <v>19.356497500000007</v>
      </c>
      <c r="N73" s="236"/>
      <c r="O73" s="512"/>
      <c r="P73" s="234" t="s">
        <v>228</v>
      </c>
      <c r="Q73" s="235">
        <f t="shared" si="16"/>
        <v>766.57262500000013</v>
      </c>
      <c r="R73" s="235">
        <f t="shared" si="14"/>
        <v>12.77621041666667</v>
      </c>
      <c r="S73" s="235">
        <f t="shared" si="15"/>
        <v>6.5519027777777783</v>
      </c>
      <c r="T73" s="236">
        <f t="shared" si="4"/>
        <v>19.328113194444448</v>
      </c>
      <c r="U73" s="236"/>
      <c r="V73" s="512"/>
      <c r="W73" s="234" t="s">
        <v>228</v>
      </c>
      <c r="X73" s="235"/>
      <c r="Y73" s="235"/>
      <c r="Z73" s="235"/>
      <c r="AA73" s="236">
        <f t="shared" si="5"/>
        <v>0</v>
      </c>
      <c r="AB73" s="236"/>
      <c r="AC73" s="512"/>
      <c r="AD73" s="234" t="s">
        <v>228</v>
      </c>
      <c r="AE73" s="235"/>
      <c r="AF73" s="235"/>
      <c r="AG73" s="235"/>
      <c r="AH73" s="236">
        <f t="shared" si="6"/>
        <v>0</v>
      </c>
      <c r="AI73" s="236"/>
      <c r="AK73" s="240"/>
    </row>
    <row r="74" spans="1:37" x14ac:dyDescent="0.2">
      <c r="A74" s="512"/>
      <c r="B74" s="234" t="s">
        <v>229</v>
      </c>
      <c r="C74" s="235">
        <f t="shared" si="11"/>
        <v>77.536518728524982</v>
      </c>
      <c r="D74" s="235">
        <f t="shared" si="7"/>
        <v>1.2922753121420831</v>
      </c>
      <c r="E74" s="235">
        <f t="shared" si="13"/>
        <v>0.8520496563574177</v>
      </c>
      <c r="F74" s="236">
        <f t="shared" si="0"/>
        <v>2.1443249684995007</v>
      </c>
      <c r="G74" s="238"/>
      <c r="H74" s="514"/>
      <c r="I74" s="234" t="s">
        <v>229</v>
      </c>
      <c r="J74" s="235">
        <f t="shared" si="12"/>
        <v>698.35206666666704</v>
      </c>
      <c r="K74" s="235">
        <f t="shared" si="9"/>
        <v>11.639201111111118</v>
      </c>
      <c r="L74" s="235">
        <f t="shared" si="10"/>
        <v>7.5907833333333334</v>
      </c>
      <c r="M74" s="236">
        <f t="shared" si="1"/>
        <v>19.229984444444451</v>
      </c>
      <c r="N74" s="236"/>
      <c r="O74" s="512"/>
      <c r="P74" s="234" t="s">
        <v>229</v>
      </c>
      <c r="Q74" s="235">
        <f t="shared" si="16"/>
        <v>760.02072222222239</v>
      </c>
      <c r="R74" s="235">
        <f t="shared" si="14"/>
        <v>12.66701203703704</v>
      </c>
      <c r="S74" s="235">
        <f t="shared" si="15"/>
        <v>6.5519027777777783</v>
      </c>
      <c r="T74" s="236">
        <f t="shared" si="4"/>
        <v>19.218914814814816</v>
      </c>
      <c r="U74" s="236"/>
      <c r="V74" s="512"/>
      <c r="W74" s="234" t="s">
        <v>229</v>
      </c>
      <c r="X74" s="235"/>
      <c r="Y74" s="235"/>
      <c r="Z74" s="235"/>
      <c r="AA74" s="236">
        <f t="shared" si="5"/>
        <v>0</v>
      </c>
      <c r="AB74" s="236"/>
      <c r="AC74" s="512"/>
      <c r="AD74" s="234" t="s">
        <v>229</v>
      </c>
      <c r="AE74" s="235"/>
      <c r="AF74" s="235"/>
      <c r="AG74" s="235"/>
      <c r="AH74" s="236">
        <f t="shared" si="6"/>
        <v>0</v>
      </c>
      <c r="AI74" s="236"/>
      <c r="AK74" s="240"/>
    </row>
    <row r="75" spans="1:37" x14ac:dyDescent="0.2">
      <c r="A75" s="512"/>
      <c r="B75" s="234" t="s">
        <v>230</v>
      </c>
      <c r="C75" s="235">
        <f t="shared" si="11"/>
        <v>76.684469072167559</v>
      </c>
      <c r="D75" s="235">
        <f t="shared" si="7"/>
        <v>1.278074484536126</v>
      </c>
      <c r="E75" s="235">
        <f t="shared" si="13"/>
        <v>0.8520496563574177</v>
      </c>
      <c r="F75" s="236">
        <f t="shared" si="0"/>
        <v>2.1301241408935438</v>
      </c>
      <c r="G75" s="238"/>
      <c r="H75" s="514"/>
      <c r="I75" s="234" t="s">
        <v>230</v>
      </c>
      <c r="J75" s="235">
        <f t="shared" si="12"/>
        <v>690.76128333333372</v>
      </c>
      <c r="K75" s="235">
        <f t="shared" si="9"/>
        <v>11.512688055555563</v>
      </c>
      <c r="L75" s="235">
        <f t="shared" si="10"/>
        <v>7.5907833333333334</v>
      </c>
      <c r="M75" s="236">
        <f t="shared" si="1"/>
        <v>19.103471388888895</v>
      </c>
      <c r="N75" s="236"/>
      <c r="O75" s="512"/>
      <c r="P75" s="234" t="s">
        <v>230</v>
      </c>
      <c r="Q75" s="235">
        <f t="shared" si="16"/>
        <v>753.46881944444465</v>
      </c>
      <c r="R75" s="235">
        <f t="shared" si="14"/>
        <v>12.55781365740741</v>
      </c>
      <c r="S75" s="235">
        <f t="shared" si="15"/>
        <v>6.5519027777777783</v>
      </c>
      <c r="T75" s="236">
        <f t="shared" si="4"/>
        <v>19.109716435185188</v>
      </c>
      <c r="U75" s="236"/>
      <c r="V75" s="512"/>
      <c r="W75" s="234" t="s">
        <v>230</v>
      </c>
      <c r="X75" s="235"/>
      <c r="Y75" s="235"/>
      <c r="Z75" s="235"/>
      <c r="AA75" s="236">
        <f t="shared" si="5"/>
        <v>0</v>
      </c>
      <c r="AB75" s="236"/>
      <c r="AC75" s="512"/>
      <c r="AD75" s="234" t="s">
        <v>230</v>
      </c>
      <c r="AE75" s="235"/>
      <c r="AF75" s="235"/>
      <c r="AG75" s="235"/>
      <c r="AH75" s="236">
        <f t="shared" si="6"/>
        <v>0</v>
      </c>
      <c r="AI75" s="236"/>
      <c r="AK75" s="240"/>
    </row>
    <row r="76" spans="1:37" x14ac:dyDescent="0.2">
      <c r="A76" s="512"/>
      <c r="B76" s="234" t="s">
        <v>231</v>
      </c>
      <c r="C76" s="235">
        <f t="shared" si="11"/>
        <v>75.832419415810136</v>
      </c>
      <c r="D76" s="235">
        <f t="shared" si="7"/>
        <v>1.263873656930169</v>
      </c>
      <c r="E76" s="235">
        <f t="shared" si="13"/>
        <v>0.8520496563574177</v>
      </c>
      <c r="F76" s="236">
        <f t="shared" ref="F76:F129" si="17">D76+E76</f>
        <v>2.1159233132875865</v>
      </c>
      <c r="G76" s="238"/>
      <c r="H76" s="514"/>
      <c r="I76" s="234" t="s">
        <v>231</v>
      </c>
      <c r="J76" s="235">
        <f t="shared" si="12"/>
        <v>683.1705000000004</v>
      </c>
      <c r="K76" s="235">
        <f t="shared" si="9"/>
        <v>11.386175000000007</v>
      </c>
      <c r="L76" s="235">
        <f t="shared" si="10"/>
        <v>7.5907833333333334</v>
      </c>
      <c r="M76" s="236">
        <f t="shared" si="1"/>
        <v>18.976958333333339</v>
      </c>
      <c r="N76" s="236"/>
      <c r="O76" s="512"/>
      <c r="P76" s="234" t="s">
        <v>231</v>
      </c>
      <c r="Q76" s="235">
        <f t="shared" si="16"/>
        <v>746.91691666666691</v>
      </c>
      <c r="R76" s="235">
        <f t="shared" si="14"/>
        <v>12.448615277777783</v>
      </c>
      <c r="S76" s="235">
        <f t="shared" si="15"/>
        <v>6.5519027777777783</v>
      </c>
      <c r="T76" s="236">
        <f t="shared" si="4"/>
        <v>19.00051805555556</v>
      </c>
      <c r="U76" s="236"/>
      <c r="V76" s="512"/>
      <c r="W76" s="234" t="s">
        <v>231</v>
      </c>
      <c r="X76" s="235"/>
      <c r="Y76" s="235"/>
      <c r="Z76" s="235"/>
      <c r="AA76" s="236">
        <f t="shared" si="5"/>
        <v>0</v>
      </c>
      <c r="AB76" s="236"/>
      <c r="AC76" s="512"/>
      <c r="AD76" s="234" t="s">
        <v>231</v>
      </c>
      <c r="AE76" s="235"/>
      <c r="AF76" s="235"/>
      <c r="AG76" s="235"/>
      <c r="AH76" s="236">
        <f t="shared" si="6"/>
        <v>0</v>
      </c>
      <c r="AI76" s="236"/>
      <c r="AK76" s="240"/>
    </row>
    <row r="77" spans="1:37" x14ac:dyDescent="0.2">
      <c r="A77" s="512"/>
      <c r="B77" s="234" t="s">
        <v>232</v>
      </c>
      <c r="C77" s="235">
        <f t="shared" si="11"/>
        <v>74.980369759452714</v>
      </c>
      <c r="D77" s="235">
        <f t="shared" si="7"/>
        <v>1.2496728293242121</v>
      </c>
      <c r="E77" s="235">
        <f t="shared" si="13"/>
        <v>0.8520496563574177</v>
      </c>
      <c r="F77" s="236">
        <f t="shared" si="17"/>
        <v>2.1017224856816297</v>
      </c>
      <c r="G77" s="238"/>
      <c r="H77" s="514"/>
      <c r="I77" s="234" t="s">
        <v>232</v>
      </c>
      <c r="J77" s="235">
        <f t="shared" si="12"/>
        <v>675.57971666666708</v>
      </c>
      <c r="K77" s="235">
        <f t="shared" si="9"/>
        <v>11.259661944444453</v>
      </c>
      <c r="L77" s="235">
        <f t="shared" si="10"/>
        <v>7.5907833333333334</v>
      </c>
      <c r="M77" s="236">
        <f t="shared" si="1"/>
        <v>18.850445277777787</v>
      </c>
      <c r="N77" s="236"/>
      <c r="O77" s="512"/>
      <c r="P77" s="234" t="s">
        <v>232</v>
      </c>
      <c r="Q77" s="235">
        <f t="shared" si="16"/>
        <v>740.36501388888917</v>
      </c>
      <c r="R77" s="235">
        <f t="shared" si="14"/>
        <v>12.339416898148153</v>
      </c>
      <c r="S77" s="235">
        <f t="shared" si="15"/>
        <v>6.5519027777777783</v>
      </c>
      <c r="T77" s="236">
        <f t="shared" si="4"/>
        <v>18.891319675925931</v>
      </c>
      <c r="U77" s="236"/>
      <c r="V77" s="512"/>
      <c r="W77" s="234" t="s">
        <v>232</v>
      </c>
      <c r="X77" s="235"/>
      <c r="Y77" s="235"/>
      <c r="Z77" s="235"/>
      <c r="AA77" s="236">
        <f t="shared" si="5"/>
        <v>0</v>
      </c>
      <c r="AB77" s="236"/>
      <c r="AC77" s="512"/>
      <c r="AD77" s="234" t="s">
        <v>232</v>
      </c>
      <c r="AE77" s="235"/>
      <c r="AF77" s="235"/>
      <c r="AG77" s="235"/>
      <c r="AH77" s="236">
        <f t="shared" si="6"/>
        <v>0</v>
      </c>
      <c r="AI77" s="236"/>
      <c r="AK77" s="240"/>
    </row>
    <row r="78" spans="1:37" x14ac:dyDescent="0.2">
      <c r="A78" s="512"/>
      <c r="B78" s="234" t="s">
        <v>233</v>
      </c>
      <c r="C78" s="235">
        <f t="shared" si="11"/>
        <v>74.128320103095291</v>
      </c>
      <c r="D78" s="235">
        <f t="shared" si="7"/>
        <v>1.2354720017182548</v>
      </c>
      <c r="E78" s="235">
        <f t="shared" si="13"/>
        <v>0.8520496563574177</v>
      </c>
      <c r="F78" s="236">
        <f t="shared" si="17"/>
        <v>2.0875216580756724</v>
      </c>
      <c r="G78" s="238"/>
      <c r="H78" s="514"/>
      <c r="I78" s="234" t="s">
        <v>233</v>
      </c>
      <c r="J78" s="235">
        <f t="shared" si="12"/>
        <v>667.98893333333376</v>
      </c>
      <c r="K78" s="235">
        <f t="shared" si="9"/>
        <v>11.133148888888897</v>
      </c>
      <c r="L78" s="235">
        <f t="shared" si="10"/>
        <v>7.5907833333333334</v>
      </c>
      <c r="M78" s="236">
        <f t="shared" si="1"/>
        <v>18.723932222222231</v>
      </c>
      <c r="N78" s="236"/>
      <c r="O78" s="512"/>
      <c r="P78" s="234" t="s">
        <v>233</v>
      </c>
      <c r="Q78" s="235">
        <f t="shared" si="16"/>
        <v>733.81311111111143</v>
      </c>
      <c r="R78" s="235">
        <f t="shared" si="14"/>
        <v>12.230218518518525</v>
      </c>
      <c r="S78" s="235">
        <f t="shared" si="15"/>
        <v>6.5519027777777783</v>
      </c>
      <c r="T78" s="236">
        <f t="shared" si="4"/>
        <v>18.782121296296303</v>
      </c>
      <c r="U78" s="236"/>
      <c r="V78" s="512"/>
      <c r="W78" s="234" t="s">
        <v>233</v>
      </c>
      <c r="X78" s="235"/>
      <c r="Y78" s="235"/>
      <c r="Z78" s="235"/>
      <c r="AA78" s="236">
        <f t="shared" si="5"/>
        <v>0</v>
      </c>
      <c r="AB78" s="236"/>
      <c r="AC78" s="512"/>
      <c r="AD78" s="234" t="s">
        <v>233</v>
      </c>
      <c r="AE78" s="235"/>
      <c r="AF78" s="235"/>
      <c r="AG78" s="235"/>
      <c r="AH78" s="236">
        <f t="shared" si="6"/>
        <v>0</v>
      </c>
      <c r="AI78" s="236"/>
      <c r="AK78" s="240"/>
    </row>
    <row r="79" spans="1:37" x14ac:dyDescent="0.2">
      <c r="A79" s="512"/>
      <c r="B79" s="234" t="s">
        <v>234</v>
      </c>
      <c r="C79" s="235">
        <f t="shared" si="11"/>
        <v>73.276270446737868</v>
      </c>
      <c r="D79" s="235">
        <f t="shared" si="7"/>
        <v>1.2212711741122979</v>
      </c>
      <c r="E79" s="235">
        <f t="shared" si="13"/>
        <v>0.8520496563574177</v>
      </c>
      <c r="F79" s="236">
        <f t="shared" si="17"/>
        <v>2.0733208304697155</v>
      </c>
      <c r="G79" s="238"/>
      <c r="H79" s="514"/>
      <c r="I79" s="234" t="s">
        <v>234</v>
      </c>
      <c r="J79" s="235">
        <f t="shared" si="12"/>
        <v>660.39815000000044</v>
      </c>
      <c r="K79" s="235">
        <f t="shared" si="9"/>
        <v>11.006635833333341</v>
      </c>
      <c r="L79" s="235">
        <f t="shared" si="10"/>
        <v>7.5907833333333334</v>
      </c>
      <c r="M79" s="236">
        <f t="shared" si="1"/>
        <v>18.597419166666675</v>
      </c>
      <c r="N79" s="236"/>
      <c r="O79" s="512"/>
      <c r="P79" s="234" t="s">
        <v>234</v>
      </c>
      <c r="Q79" s="235">
        <f t="shared" si="16"/>
        <v>727.26120833333368</v>
      </c>
      <c r="R79" s="235">
        <f t="shared" si="14"/>
        <v>12.121020138888895</v>
      </c>
      <c r="S79" s="235">
        <f t="shared" si="15"/>
        <v>6.5519027777777783</v>
      </c>
      <c r="T79" s="236">
        <f t="shared" si="4"/>
        <v>18.672922916666671</v>
      </c>
      <c r="U79" s="236"/>
      <c r="V79" s="512"/>
      <c r="W79" s="234" t="s">
        <v>234</v>
      </c>
      <c r="X79" s="235"/>
      <c r="Y79" s="235"/>
      <c r="Z79" s="235"/>
      <c r="AA79" s="236">
        <f t="shared" si="5"/>
        <v>0</v>
      </c>
      <c r="AB79" s="236"/>
      <c r="AC79" s="512"/>
      <c r="AD79" s="234" t="s">
        <v>234</v>
      </c>
      <c r="AE79" s="235"/>
      <c r="AF79" s="235"/>
      <c r="AG79" s="235"/>
      <c r="AH79" s="236">
        <f t="shared" si="6"/>
        <v>0</v>
      </c>
      <c r="AI79" s="236"/>
      <c r="AK79" s="240"/>
    </row>
    <row r="80" spans="1:37" x14ac:dyDescent="0.2">
      <c r="A80" s="512"/>
      <c r="B80" s="234" t="s">
        <v>235</v>
      </c>
      <c r="C80" s="235">
        <f t="shared" si="11"/>
        <v>72.424220790380446</v>
      </c>
      <c r="D80" s="235">
        <f t="shared" si="7"/>
        <v>1.2070703465063408</v>
      </c>
      <c r="E80" s="235">
        <f t="shared" si="13"/>
        <v>0.8520496563574177</v>
      </c>
      <c r="F80" s="236">
        <f t="shared" si="17"/>
        <v>2.0591200028637586</v>
      </c>
      <c r="G80" s="238"/>
      <c r="H80" s="514"/>
      <c r="I80" s="234" t="s">
        <v>235</v>
      </c>
      <c r="J80" s="235">
        <f t="shared" si="12"/>
        <v>652.80736666666712</v>
      </c>
      <c r="K80" s="235">
        <f t="shared" si="9"/>
        <v>10.880122777777785</v>
      </c>
      <c r="L80" s="235">
        <f t="shared" si="10"/>
        <v>7.5907833333333334</v>
      </c>
      <c r="M80" s="236">
        <f t="shared" si="1"/>
        <v>18.47090611111112</v>
      </c>
      <c r="N80" s="236"/>
      <c r="O80" s="512"/>
      <c r="P80" s="234" t="s">
        <v>235</v>
      </c>
      <c r="Q80" s="235">
        <f t="shared" si="16"/>
        <v>720.70930555555594</v>
      </c>
      <c r="R80" s="235">
        <f t="shared" si="14"/>
        <v>12.011821759259265</v>
      </c>
      <c r="S80" s="235">
        <f t="shared" si="15"/>
        <v>6.5519027777777783</v>
      </c>
      <c r="T80" s="236">
        <f t="shared" si="4"/>
        <v>18.563724537037043</v>
      </c>
      <c r="U80" s="236"/>
      <c r="V80" s="512"/>
      <c r="W80" s="234" t="s">
        <v>235</v>
      </c>
      <c r="X80" s="235"/>
      <c r="Y80" s="235"/>
      <c r="Z80" s="235"/>
      <c r="AA80" s="236">
        <f t="shared" si="5"/>
        <v>0</v>
      </c>
      <c r="AB80" s="236"/>
      <c r="AC80" s="512"/>
      <c r="AD80" s="234" t="s">
        <v>235</v>
      </c>
      <c r="AE80" s="235"/>
      <c r="AF80" s="235"/>
      <c r="AG80" s="235"/>
      <c r="AH80" s="236">
        <f t="shared" si="6"/>
        <v>0</v>
      </c>
      <c r="AI80" s="236"/>
      <c r="AK80" s="240"/>
    </row>
    <row r="81" spans="1:37" x14ac:dyDescent="0.2">
      <c r="A81" s="512"/>
      <c r="B81" s="234" t="s">
        <v>236</v>
      </c>
      <c r="C81" s="235">
        <f t="shared" si="11"/>
        <v>71.572171134023023</v>
      </c>
      <c r="D81" s="235">
        <f t="shared" si="7"/>
        <v>1.1928695189003837</v>
      </c>
      <c r="E81" s="235">
        <f t="shared" si="13"/>
        <v>0.8520496563574177</v>
      </c>
      <c r="F81" s="236">
        <f t="shared" si="17"/>
        <v>2.0449191752578013</v>
      </c>
      <c r="G81" s="239">
        <f>SUM(D70:D81)</f>
        <v>15.25168884879777</v>
      </c>
      <c r="H81" s="515"/>
      <c r="I81" s="234" t="s">
        <v>236</v>
      </c>
      <c r="J81" s="235">
        <f t="shared" si="12"/>
        <v>645.2165833333338</v>
      </c>
      <c r="K81" s="235">
        <f t="shared" si="9"/>
        <v>10.75360972222223</v>
      </c>
      <c r="L81" s="235">
        <f t="shared" si="10"/>
        <v>7.5907833333333334</v>
      </c>
      <c r="M81" s="236">
        <f t="shared" si="1"/>
        <v>18.344393055555564</v>
      </c>
      <c r="N81" s="239">
        <f>SUM(K70:K81)</f>
        <v>137.3931783333334</v>
      </c>
      <c r="O81" s="512"/>
      <c r="P81" s="234" t="s">
        <v>236</v>
      </c>
      <c r="Q81" s="235">
        <f t="shared" si="16"/>
        <v>714.1574027777782</v>
      </c>
      <c r="R81" s="235">
        <f t="shared" si="14"/>
        <v>11.902623379629638</v>
      </c>
      <c r="S81" s="235">
        <f t="shared" si="15"/>
        <v>6.5519027777777783</v>
      </c>
      <c r="T81" s="236">
        <f t="shared" si="4"/>
        <v>18.454526157407415</v>
      </c>
      <c r="U81" s="239">
        <f>SUM(R70:R81)</f>
        <v>150.03857361111116</v>
      </c>
      <c r="V81" s="512"/>
      <c r="W81" s="234" t="s">
        <v>236</v>
      </c>
      <c r="X81" s="235"/>
      <c r="Y81" s="235"/>
      <c r="Z81" s="235"/>
      <c r="AA81" s="236">
        <f t="shared" si="5"/>
        <v>0</v>
      </c>
      <c r="AB81" s="239">
        <f>SUM(Y70:Y81)</f>
        <v>0</v>
      </c>
      <c r="AC81" s="512"/>
      <c r="AD81" s="234" t="s">
        <v>236</v>
      </c>
      <c r="AE81" s="235"/>
      <c r="AF81" s="235"/>
      <c r="AG81" s="235"/>
      <c r="AH81" s="236">
        <f t="shared" si="6"/>
        <v>0</v>
      </c>
      <c r="AI81" s="239">
        <f>SUM(AF70:AF81)</f>
        <v>0</v>
      </c>
      <c r="AJ81" s="208">
        <f>AJ69+1</f>
        <v>2027</v>
      </c>
      <c r="AK81" s="240">
        <f>G81+N81+U81+AB81+AI81</f>
        <v>302.68344079324231</v>
      </c>
    </row>
    <row r="82" spans="1:37" x14ac:dyDescent="0.2">
      <c r="A82" s="512">
        <f>A70+1</f>
        <v>2028</v>
      </c>
      <c r="B82" s="234" t="s">
        <v>225</v>
      </c>
      <c r="C82" s="235">
        <f t="shared" si="11"/>
        <v>70.7201214776656</v>
      </c>
      <c r="D82" s="235">
        <f t="shared" si="7"/>
        <v>1.1786686912944269</v>
      </c>
      <c r="E82" s="235">
        <f t="shared" si="13"/>
        <v>0.8520496563574177</v>
      </c>
      <c r="F82" s="236">
        <f t="shared" si="17"/>
        <v>2.0307183476518444</v>
      </c>
      <c r="G82" s="237"/>
      <c r="H82" s="513">
        <f>H70+1</f>
        <v>2028</v>
      </c>
      <c r="I82" s="234" t="s">
        <v>225</v>
      </c>
      <c r="J82" s="235">
        <f t="shared" si="12"/>
        <v>637.62580000000048</v>
      </c>
      <c r="K82" s="235">
        <f t="shared" si="9"/>
        <v>10.627096666666676</v>
      </c>
      <c r="L82" s="235">
        <f t="shared" si="10"/>
        <v>7.5907833333333334</v>
      </c>
      <c r="M82" s="236">
        <f t="shared" si="1"/>
        <v>18.217880000000008</v>
      </c>
      <c r="N82" s="236"/>
      <c r="O82" s="512">
        <f>O70+1</f>
        <v>2028</v>
      </c>
      <c r="P82" s="234" t="s">
        <v>225</v>
      </c>
      <c r="Q82" s="235">
        <f t="shared" si="16"/>
        <v>707.60550000000046</v>
      </c>
      <c r="R82" s="235">
        <f t="shared" si="14"/>
        <v>11.793425000000008</v>
      </c>
      <c r="S82" s="235">
        <f t="shared" si="15"/>
        <v>6.5519027777777783</v>
      </c>
      <c r="T82" s="236">
        <f t="shared" si="4"/>
        <v>18.345327777777786</v>
      </c>
      <c r="U82" s="236"/>
      <c r="V82" s="512">
        <f>V70+1</f>
        <v>2027</v>
      </c>
      <c r="W82" s="234" t="s">
        <v>225</v>
      </c>
      <c r="X82" s="235"/>
      <c r="Y82" s="235"/>
      <c r="Z82" s="235"/>
      <c r="AA82" s="236">
        <f t="shared" si="5"/>
        <v>0</v>
      </c>
      <c r="AB82" s="236"/>
      <c r="AC82" s="512">
        <f>AC70+1</f>
        <v>2027</v>
      </c>
      <c r="AD82" s="234" t="s">
        <v>225</v>
      </c>
      <c r="AE82" s="235"/>
      <c r="AF82" s="235"/>
      <c r="AG82" s="235"/>
      <c r="AH82" s="236">
        <f t="shared" si="6"/>
        <v>0</v>
      </c>
      <c r="AI82" s="236"/>
      <c r="AK82" s="240"/>
    </row>
    <row r="83" spans="1:37" x14ac:dyDescent="0.2">
      <c r="A83" s="512"/>
      <c r="B83" s="234" t="s">
        <v>226</v>
      </c>
      <c r="C83" s="235">
        <f t="shared" si="11"/>
        <v>69.868071821308178</v>
      </c>
      <c r="D83" s="235">
        <f t="shared" si="7"/>
        <v>1.1644678636884696</v>
      </c>
      <c r="E83" s="235">
        <f t="shared" si="13"/>
        <v>0.8520496563574177</v>
      </c>
      <c r="F83" s="236">
        <f t="shared" si="17"/>
        <v>2.0165175200458871</v>
      </c>
      <c r="G83" s="238"/>
      <c r="H83" s="514"/>
      <c r="I83" s="234" t="s">
        <v>226</v>
      </c>
      <c r="J83" s="235">
        <f t="shared" si="12"/>
        <v>630.03501666666716</v>
      </c>
      <c r="K83" s="235">
        <f t="shared" si="9"/>
        <v>10.50058361111112</v>
      </c>
      <c r="L83" s="235">
        <f t="shared" si="10"/>
        <v>7.5907833333333334</v>
      </c>
      <c r="M83" s="236">
        <f t="shared" si="1"/>
        <v>18.091366944444452</v>
      </c>
      <c r="N83" s="236"/>
      <c r="O83" s="512"/>
      <c r="P83" s="234" t="s">
        <v>226</v>
      </c>
      <c r="Q83" s="235">
        <f t="shared" si="16"/>
        <v>701.05359722222272</v>
      </c>
      <c r="R83" s="235">
        <f t="shared" si="14"/>
        <v>11.68422662037038</v>
      </c>
      <c r="S83" s="235">
        <f t="shared" si="15"/>
        <v>6.5519027777777783</v>
      </c>
      <c r="T83" s="236">
        <f t="shared" si="4"/>
        <v>18.236129398148158</v>
      </c>
      <c r="U83" s="236"/>
      <c r="V83" s="512"/>
      <c r="W83" s="234" t="s">
        <v>226</v>
      </c>
      <c r="X83" s="235"/>
      <c r="Y83" s="235"/>
      <c r="Z83" s="235"/>
      <c r="AA83" s="236">
        <f t="shared" si="5"/>
        <v>0</v>
      </c>
      <c r="AB83" s="236"/>
      <c r="AC83" s="512"/>
      <c r="AD83" s="234" t="s">
        <v>226</v>
      </c>
      <c r="AE83" s="235"/>
      <c r="AF83" s="235"/>
      <c r="AG83" s="235"/>
      <c r="AH83" s="236">
        <f t="shared" si="6"/>
        <v>0</v>
      </c>
      <c r="AI83" s="236"/>
      <c r="AK83" s="240"/>
    </row>
    <row r="84" spans="1:37" x14ac:dyDescent="0.2">
      <c r="A84" s="512"/>
      <c r="B84" s="234" t="s">
        <v>227</v>
      </c>
      <c r="C84" s="235">
        <f t="shared" si="11"/>
        <v>69.016022164950755</v>
      </c>
      <c r="D84" s="235">
        <f t="shared" si="7"/>
        <v>1.1502670360825127</v>
      </c>
      <c r="E84" s="235">
        <f t="shared" si="13"/>
        <v>0.8520496563574177</v>
      </c>
      <c r="F84" s="236">
        <f t="shared" si="17"/>
        <v>2.0023166924399303</v>
      </c>
      <c r="G84" s="238"/>
      <c r="H84" s="514"/>
      <c r="I84" s="234" t="s">
        <v>227</v>
      </c>
      <c r="J84" s="235">
        <f t="shared" si="12"/>
        <v>622.44423333333384</v>
      </c>
      <c r="K84" s="235">
        <f t="shared" si="9"/>
        <v>10.374070555555564</v>
      </c>
      <c r="L84" s="235">
        <f t="shared" si="10"/>
        <v>7.5907833333333334</v>
      </c>
      <c r="M84" s="236">
        <f t="shared" si="1"/>
        <v>17.964853888888896</v>
      </c>
      <c r="N84" s="236"/>
      <c r="O84" s="512"/>
      <c r="P84" s="234" t="s">
        <v>227</v>
      </c>
      <c r="Q84" s="235">
        <f t="shared" si="16"/>
        <v>694.50169444444498</v>
      </c>
      <c r="R84" s="235">
        <f t="shared" si="14"/>
        <v>11.57502824074075</v>
      </c>
      <c r="S84" s="235">
        <f t="shared" si="15"/>
        <v>6.5519027777777783</v>
      </c>
      <c r="T84" s="236">
        <f t="shared" si="4"/>
        <v>18.126931018518526</v>
      </c>
      <c r="U84" s="236"/>
      <c r="V84" s="512"/>
      <c r="W84" s="234" t="s">
        <v>227</v>
      </c>
      <c r="X84" s="235"/>
      <c r="Y84" s="235"/>
      <c r="Z84" s="235"/>
      <c r="AA84" s="236">
        <f t="shared" si="5"/>
        <v>0</v>
      </c>
      <c r="AB84" s="236"/>
      <c r="AC84" s="512"/>
      <c r="AD84" s="234" t="s">
        <v>227</v>
      </c>
      <c r="AE84" s="235"/>
      <c r="AF84" s="235"/>
      <c r="AG84" s="235"/>
      <c r="AH84" s="236">
        <f t="shared" si="6"/>
        <v>0</v>
      </c>
      <c r="AI84" s="236"/>
      <c r="AK84" s="240"/>
    </row>
    <row r="85" spans="1:37" x14ac:dyDescent="0.2">
      <c r="A85" s="512"/>
      <c r="B85" s="234" t="s">
        <v>228</v>
      </c>
      <c r="C85" s="235">
        <f t="shared" si="11"/>
        <v>68.163972508593332</v>
      </c>
      <c r="D85" s="235">
        <f t="shared" si="7"/>
        <v>1.1360662084765556</v>
      </c>
      <c r="E85" s="235">
        <f t="shared" si="13"/>
        <v>0.8520496563574177</v>
      </c>
      <c r="F85" s="236">
        <f t="shared" si="17"/>
        <v>1.9881158648339734</v>
      </c>
      <c r="G85" s="238"/>
      <c r="H85" s="514"/>
      <c r="I85" s="234" t="s">
        <v>228</v>
      </c>
      <c r="J85" s="235">
        <f t="shared" si="12"/>
        <v>614.85345000000052</v>
      </c>
      <c r="K85" s="235">
        <f t="shared" si="9"/>
        <v>10.247557500000008</v>
      </c>
      <c r="L85" s="235">
        <f t="shared" si="10"/>
        <v>7.5907833333333334</v>
      </c>
      <c r="M85" s="236">
        <f t="shared" si="1"/>
        <v>17.838340833333341</v>
      </c>
      <c r="N85" s="236"/>
      <c r="O85" s="512"/>
      <c r="P85" s="234" t="s">
        <v>228</v>
      </c>
      <c r="Q85" s="235">
        <f t="shared" si="16"/>
        <v>687.94979166666724</v>
      </c>
      <c r="R85" s="235">
        <f t="shared" si="14"/>
        <v>11.46582986111112</v>
      </c>
      <c r="S85" s="235">
        <f t="shared" si="15"/>
        <v>6.5519027777777783</v>
      </c>
      <c r="T85" s="236">
        <f t="shared" si="4"/>
        <v>18.017732638888898</v>
      </c>
      <c r="U85" s="236"/>
      <c r="V85" s="512"/>
      <c r="W85" s="234" t="s">
        <v>228</v>
      </c>
      <c r="X85" s="235"/>
      <c r="Y85" s="235"/>
      <c r="Z85" s="235"/>
      <c r="AA85" s="236">
        <f t="shared" si="5"/>
        <v>0</v>
      </c>
      <c r="AB85" s="236"/>
      <c r="AC85" s="512"/>
      <c r="AD85" s="234" t="s">
        <v>228</v>
      </c>
      <c r="AE85" s="235"/>
      <c r="AF85" s="235"/>
      <c r="AG85" s="235"/>
      <c r="AH85" s="236">
        <f t="shared" si="6"/>
        <v>0</v>
      </c>
      <c r="AI85" s="236"/>
      <c r="AK85" s="240"/>
    </row>
    <row r="86" spans="1:37" x14ac:dyDescent="0.2">
      <c r="A86" s="512"/>
      <c r="B86" s="234" t="s">
        <v>229</v>
      </c>
      <c r="C86" s="235">
        <f t="shared" si="11"/>
        <v>67.311922852235909</v>
      </c>
      <c r="D86" s="235">
        <f t="shared" si="7"/>
        <v>1.1218653808705985</v>
      </c>
      <c r="E86" s="235">
        <f t="shared" si="13"/>
        <v>0.8520496563574177</v>
      </c>
      <c r="F86" s="236">
        <f t="shared" si="17"/>
        <v>1.9739150372280161</v>
      </c>
      <c r="G86" s="238"/>
      <c r="H86" s="514"/>
      <c r="I86" s="234" t="s">
        <v>229</v>
      </c>
      <c r="J86" s="235">
        <f t="shared" si="12"/>
        <v>607.2626666666672</v>
      </c>
      <c r="K86" s="235">
        <f t="shared" si="9"/>
        <v>10.121044444444454</v>
      </c>
      <c r="L86" s="235">
        <f t="shared" si="10"/>
        <v>7.5907833333333334</v>
      </c>
      <c r="M86" s="236">
        <f t="shared" si="1"/>
        <v>17.711827777777788</v>
      </c>
      <c r="N86" s="236"/>
      <c r="O86" s="512"/>
      <c r="P86" s="234" t="s">
        <v>229</v>
      </c>
      <c r="Q86" s="235">
        <f t="shared" si="16"/>
        <v>681.3978888888895</v>
      </c>
      <c r="R86" s="235">
        <f t="shared" si="14"/>
        <v>11.356631481481493</v>
      </c>
      <c r="S86" s="235">
        <f t="shared" si="15"/>
        <v>6.5519027777777783</v>
      </c>
      <c r="T86" s="236">
        <f t="shared" si="4"/>
        <v>17.90853425925927</v>
      </c>
      <c r="U86" s="236"/>
      <c r="V86" s="512"/>
      <c r="W86" s="234" t="s">
        <v>229</v>
      </c>
      <c r="X86" s="235"/>
      <c r="Y86" s="235"/>
      <c r="Z86" s="235"/>
      <c r="AA86" s="236">
        <f t="shared" si="5"/>
        <v>0</v>
      </c>
      <c r="AB86" s="236"/>
      <c r="AC86" s="512"/>
      <c r="AD86" s="234" t="s">
        <v>229</v>
      </c>
      <c r="AE86" s="235"/>
      <c r="AF86" s="235"/>
      <c r="AG86" s="235"/>
      <c r="AH86" s="236">
        <f t="shared" si="6"/>
        <v>0</v>
      </c>
      <c r="AI86" s="236"/>
      <c r="AK86" s="240"/>
    </row>
    <row r="87" spans="1:37" x14ac:dyDescent="0.2">
      <c r="A87" s="512"/>
      <c r="B87" s="234" t="s">
        <v>230</v>
      </c>
      <c r="C87" s="235">
        <f t="shared" si="11"/>
        <v>66.459873195878487</v>
      </c>
      <c r="D87" s="235">
        <f t="shared" si="7"/>
        <v>1.1076645532646416</v>
      </c>
      <c r="E87" s="235">
        <f t="shared" si="13"/>
        <v>0.8520496563574177</v>
      </c>
      <c r="F87" s="236">
        <f t="shared" si="17"/>
        <v>1.9597142096220592</v>
      </c>
      <c r="G87" s="238"/>
      <c r="H87" s="514"/>
      <c r="I87" s="234" t="s">
        <v>230</v>
      </c>
      <c r="J87" s="235">
        <f t="shared" si="12"/>
        <v>599.67188333333388</v>
      </c>
      <c r="K87" s="235">
        <f t="shared" si="9"/>
        <v>9.9945313888888982</v>
      </c>
      <c r="L87" s="235">
        <f t="shared" si="10"/>
        <v>7.5907833333333334</v>
      </c>
      <c r="M87" s="236">
        <f t="shared" ref="M87:M150" si="18">K87+L87</f>
        <v>17.585314722222233</v>
      </c>
      <c r="N87" s="236"/>
      <c r="O87" s="512"/>
      <c r="P87" s="234" t="s">
        <v>230</v>
      </c>
      <c r="Q87" s="235">
        <f t="shared" si="16"/>
        <v>674.84598611111176</v>
      </c>
      <c r="R87" s="235">
        <f t="shared" si="14"/>
        <v>11.247433101851863</v>
      </c>
      <c r="S87" s="235">
        <f t="shared" si="15"/>
        <v>6.5519027777777783</v>
      </c>
      <c r="T87" s="236">
        <f t="shared" si="4"/>
        <v>17.799335879629641</v>
      </c>
      <c r="U87" s="236"/>
      <c r="V87" s="512"/>
      <c r="W87" s="234" t="s">
        <v>230</v>
      </c>
      <c r="X87" s="235"/>
      <c r="Y87" s="235"/>
      <c r="Z87" s="235"/>
      <c r="AA87" s="236">
        <f t="shared" si="5"/>
        <v>0</v>
      </c>
      <c r="AB87" s="236"/>
      <c r="AC87" s="512"/>
      <c r="AD87" s="234" t="s">
        <v>230</v>
      </c>
      <c r="AE87" s="235"/>
      <c r="AF87" s="235"/>
      <c r="AG87" s="235"/>
      <c r="AH87" s="236">
        <f t="shared" si="6"/>
        <v>0</v>
      </c>
      <c r="AI87" s="236"/>
      <c r="AK87" s="240"/>
    </row>
    <row r="88" spans="1:37" x14ac:dyDescent="0.2">
      <c r="A88" s="512"/>
      <c r="B88" s="234" t="s">
        <v>231</v>
      </c>
      <c r="C88" s="235">
        <f t="shared" si="11"/>
        <v>65.607823539521064</v>
      </c>
      <c r="D88" s="235">
        <f t="shared" si="7"/>
        <v>1.0934637256586843</v>
      </c>
      <c r="E88" s="235">
        <f t="shared" si="13"/>
        <v>0.8520496563574177</v>
      </c>
      <c r="F88" s="236">
        <f t="shared" si="17"/>
        <v>1.9455133820161019</v>
      </c>
      <c r="G88" s="238"/>
      <c r="H88" s="514"/>
      <c r="I88" s="234" t="s">
        <v>231</v>
      </c>
      <c r="J88" s="235">
        <f t="shared" si="12"/>
        <v>592.08110000000056</v>
      </c>
      <c r="K88" s="235">
        <f t="shared" si="9"/>
        <v>9.8680183333333442</v>
      </c>
      <c r="L88" s="235">
        <f t="shared" si="10"/>
        <v>7.5907833333333334</v>
      </c>
      <c r="M88" s="236">
        <f t="shared" si="18"/>
        <v>17.458801666666677</v>
      </c>
      <c r="N88" s="236"/>
      <c r="O88" s="512"/>
      <c r="P88" s="234" t="s">
        <v>231</v>
      </c>
      <c r="Q88" s="235">
        <f t="shared" si="16"/>
        <v>668.29408333333402</v>
      </c>
      <c r="R88" s="235">
        <f t="shared" si="14"/>
        <v>11.138234722222235</v>
      </c>
      <c r="S88" s="235">
        <f t="shared" si="15"/>
        <v>6.5519027777777783</v>
      </c>
      <c r="T88" s="236">
        <f t="shared" si="4"/>
        <v>17.690137500000013</v>
      </c>
      <c r="U88" s="236"/>
      <c r="V88" s="512"/>
      <c r="W88" s="234" t="s">
        <v>231</v>
      </c>
      <c r="X88" s="235"/>
      <c r="Y88" s="235"/>
      <c r="Z88" s="235"/>
      <c r="AA88" s="236">
        <f t="shared" si="5"/>
        <v>0</v>
      </c>
      <c r="AB88" s="236"/>
      <c r="AC88" s="512"/>
      <c r="AD88" s="234" t="s">
        <v>231</v>
      </c>
      <c r="AE88" s="235"/>
      <c r="AF88" s="235"/>
      <c r="AG88" s="235"/>
      <c r="AH88" s="236">
        <f t="shared" si="6"/>
        <v>0</v>
      </c>
      <c r="AI88" s="236"/>
      <c r="AK88" s="240"/>
    </row>
    <row r="89" spans="1:37" x14ac:dyDescent="0.2">
      <c r="A89" s="512"/>
      <c r="B89" s="234" t="s">
        <v>232</v>
      </c>
      <c r="C89" s="235">
        <f t="shared" si="11"/>
        <v>64.755773883163641</v>
      </c>
      <c r="D89" s="235">
        <f t="shared" si="7"/>
        <v>1.0792628980527275</v>
      </c>
      <c r="E89" s="235">
        <f t="shared" si="13"/>
        <v>0.8520496563574177</v>
      </c>
      <c r="F89" s="236">
        <f t="shared" si="17"/>
        <v>1.931312554410145</v>
      </c>
      <c r="G89" s="238"/>
      <c r="H89" s="514"/>
      <c r="I89" s="234" t="s">
        <v>232</v>
      </c>
      <c r="J89" s="235">
        <f t="shared" si="12"/>
        <v>584.49031666666724</v>
      </c>
      <c r="K89" s="235">
        <f t="shared" si="9"/>
        <v>9.7415052777777884</v>
      </c>
      <c r="L89" s="235">
        <f t="shared" si="10"/>
        <v>7.5907833333333334</v>
      </c>
      <c r="M89" s="236">
        <f t="shared" si="18"/>
        <v>17.332288611111121</v>
      </c>
      <c r="N89" s="236"/>
      <c r="O89" s="512"/>
      <c r="P89" s="234" t="s">
        <v>232</v>
      </c>
      <c r="Q89" s="235">
        <f t="shared" si="16"/>
        <v>661.74218055555627</v>
      </c>
      <c r="R89" s="235">
        <f t="shared" si="14"/>
        <v>11.029036342592605</v>
      </c>
      <c r="S89" s="235">
        <f t="shared" si="15"/>
        <v>6.5519027777777783</v>
      </c>
      <c r="T89" s="236">
        <f t="shared" si="4"/>
        <v>17.580939120370381</v>
      </c>
      <c r="U89" s="236"/>
      <c r="V89" s="512"/>
      <c r="W89" s="234" t="s">
        <v>232</v>
      </c>
      <c r="X89" s="235"/>
      <c r="Y89" s="235"/>
      <c r="Z89" s="235"/>
      <c r="AA89" s="236">
        <f t="shared" si="5"/>
        <v>0</v>
      </c>
      <c r="AB89" s="236"/>
      <c r="AC89" s="512"/>
      <c r="AD89" s="234" t="s">
        <v>232</v>
      </c>
      <c r="AE89" s="235"/>
      <c r="AF89" s="235"/>
      <c r="AG89" s="235"/>
      <c r="AH89" s="236">
        <f t="shared" si="6"/>
        <v>0</v>
      </c>
      <c r="AI89" s="236"/>
      <c r="AK89" s="240"/>
    </row>
    <row r="90" spans="1:37" x14ac:dyDescent="0.2">
      <c r="A90" s="512"/>
      <c r="B90" s="234" t="s">
        <v>233</v>
      </c>
      <c r="C90" s="235">
        <f t="shared" si="11"/>
        <v>63.903724226806226</v>
      </c>
      <c r="D90" s="235">
        <f t="shared" si="7"/>
        <v>1.0650620704467706</v>
      </c>
      <c r="E90" s="235">
        <f t="shared" si="13"/>
        <v>0.8520496563574177</v>
      </c>
      <c r="F90" s="236">
        <f t="shared" si="17"/>
        <v>1.9171117268041882</v>
      </c>
      <c r="G90" s="238"/>
      <c r="H90" s="514"/>
      <c r="I90" s="234" t="s">
        <v>233</v>
      </c>
      <c r="J90" s="235">
        <f t="shared" si="12"/>
        <v>576.89953333333392</v>
      </c>
      <c r="K90" s="235">
        <f t="shared" si="9"/>
        <v>9.6149922222222326</v>
      </c>
      <c r="L90" s="235">
        <f t="shared" si="10"/>
        <v>7.5907833333333334</v>
      </c>
      <c r="M90" s="236">
        <f t="shared" si="18"/>
        <v>17.205775555555565</v>
      </c>
      <c r="N90" s="236"/>
      <c r="O90" s="512"/>
      <c r="P90" s="234" t="s">
        <v>233</v>
      </c>
      <c r="Q90" s="235">
        <f t="shared" si="16"/>
        <v>655.19027777777853</v>
      </c>
      <c r="R90" s="235">
        <f t="shared" si="14"/>
        <v>10.919837962962974</v>
      </c>
      <c r="S90" s="235">
        <f t="shared" si="15"/>
        <v>6.5519027777777783</v>
      </c>
      <c r="T90" s="236">
        <f t="shared" si="4"/>
        <v>17.471740740740753</v>
      </c>
      <c r="U90" s="236"/>
      <c r="V90" s="512"/>
      <c r="W90" s="234" t="s">
        <v>233</v>
      </c>
      <c r="X90" s="235"/>
      <c r="Y90" s="235"/>
      <c r="Z90" s="235"/>
      <c r="AA90" s="236">
        <f t="shared" si="5"/>
        <v>0</v>
      </c>
      <c r="AB90" s="236"/>
      <c r="AC90" s="512"/>
      <c r="AD90" s="234" t="s">
        <v>233</v>
      </c>
      <c r="AE90" s="235"/>
      <c r="AF90" s="235"/>
      <c r="AG90" s="235"/>
      <c r="AH90" s="236">
        <f t="shared" si="6"/>
        <v>0</v>
      </c>
      <c r="AI90" s="236"/>
      <c r="AK90" s="240"/>
    </row>
    <row r="91" spans="1:37" x14ac:dyDescent="0.2">
      <c r="A91" s="512"/>
      <c r="B91" s="234" t="s">
        <v>234</v>
      </c>
      <c r="C91" s="235">
        <f t="shared" si="11"/>
        <v>63.05167457044881</v>
      </c>
      <c r="D91" s="235">
        <f t="shared" si="7"/>
        <v>1.0508612428408135</v>
      </c>
      <c r="E91" s="235">
        <f t="shared" si="13"/>
        <v>0.8520496563574177</v>
      </c>
      <c r="F91" s="236">
        <f t="shared" si="17"/>
        <v>1.9029108991982313</v>
      </c>
      <c r="G91" s="238"/>
      <c r="H91" s="514"/>
      <c r="I91" s="234" t="s">
        <v>234</v>
      </c>
      <c r="J91" s="235">
        <f t="shared" si="12"/>
        <v>569.3087500000006</v>
      </c>
      <c r="K91" s="235">
        <f t="shared" si="9"/>
        <v>9.4884791666666768</v>
      </c>
      <c r="L91" s="235">
        <f t="shared" si="10"/>
        <v>7.5907833333333334</v>
      </c>
      <c r="M91" s="236">
        <f t="shared" si="18"/>
        <v>17.079262500000009</v>
      </c>
      <c r="N91" s="236"/>
      <c r="O91" s="512"/>
      <c r="P91" s="234" t="s">
        <v>234</v>
      </c>
      <c r="Q91" s="235">
        <f t="shared" si="16"/>
        <v>648.63837500000079</v>
      </c>
      <c r="R91" s="235">
        <f t="shared" si="14"/>
        <v>10.810639583333348</v>
      </c>
      <c r="S91" s="235">
        <f t="shared" si="15"/>
        <v>6.5519027777777783</v>
      </c>
      <c r="T91" s="236">
        <f t="shared" si="4"/>
        <v>17.362542361111124</v>
      </c>
      <c r="U91" s="236"/>
      <c r="V91" s="512"/>
      <c r="W91" s="234" t="s">
        <v>234</v>
      </c>
      <c r="X91" s="235"/>
      <c r="Y91" s="235"/>
      <c r="Z91" s="235"/>
      <c r="AA91" s="236">
        <f t="shared" si="5"/>
        <v>0</v>
      </c>
      <c r="AB91" s="236"/>
      <c r="AC91" s="512"/>
      <c r="AD91" s="234" t="s">
        <v>234</v>
      </c>
      <c r="AE91" s="235"/>
      <c r="AF91" s="235"/>
      <c r="AG91" s="235"/>
      <c r="AH91" s="236">
        <f t="shared" si="6"/>
        <v>0</v>
      </c>
      <c r="AI91" s="236"/>
      <c r="AK91" s="240"/>
    </row>
    <row r="92" spans="1:37" x14ac:dyDescent="0.2">
      <c r="A92" s="512"/>
      <c r="B92" s="234" t="s">
        <v>235</v>
      </c>
      <c r="C92" s="235">
        <f t="shared" si="11"/>
        <v>62.199624914091395</v>
      </c>
      <c r="D92" s="235">
        <f t="shared" si="7"/>
        <v>1.0366604152348566</v>
      </c>
      <c r="E92" s="235">
        <f>$C$68/($D$8-23)</f>
        <v>0.8520496563574177</v>
      </c>
      <c r="F92" s="236">
        <f t="shared" si="17"/>
        <v>1.8887100715922744</v>
      </c>
      <c r="G92" s="238"/>
      <c r="H92" s="514"/>
      <c r="I92" s="234" t="s">
        <v>235</v>
      </c>
      <c r="J92" s="235">
        <f t="shared" si="12"/>
        <v>561.71796666666728</v>
      </c>
      <c r="K92" s="235">
        <f t="shared" si="9"/>
        <v>9.361966111111121</v>
      </c>
      <c r="L92" s="235">
        <f t="shared" si="10"/>
        <v>7.5907833333333334</v>
      </c>
      <c r="M92" s="236">
        <f t="shared" si="18"/>
        <v>16.952749444444454</v>
      </c>
      <c r="N92" s="236"/>
      <c r="O92" s="512"/>
      <c r="P92" s="234" t="s">
        <v>235</v>
      </c>
      <c r="Q92" s="235">
        <f t="shared" si="16"/>
        <v>642.08647222222305</v>
      </c>
      <c r="R92" s="235">
        <f t="shared" si="14"/>
        <v>10.701441203703718</v>
      </c>
      <c r="S92" s="235">
        <f t="shared" si="15"/>
        <v>6.5519027777777783</v>
      </c>
      <c r="T92" s="236">
        <f t="shared" si="4"/>
        <v>17.253343981481496</v>
      </c>
      <c r="U92" s="236"/>
      <c r="V92" s="512"/>
      <c r="W92" s="234" t="s">
        <v>235</v>
      </c>
      <c r="X92" s="235"/>
      <c r="Y92" s="235"/>
      <c r="Z92" s="235"/>
      <c r="AA92" s="236">
        <f t="shared" si="5"/>
        <v>0</v>
      </c>
      <c r="AB92" s="236"/>
      <c r="AC92" s="512"/>
      <c r="AD92" s="234" t="s">
        <v>235</v>
      </c>
      <c r="AE92" s="235"/>
      <c r="AF92" s="235"/>
      <c r="AG92" s="235"/>
      <c r="AH92" s="236">
        <f t="shared" si="6"/>
        <v>0</v>
      </c>
      <c r="AI92" s="236"/>
      <c r="AK92" s="240"/>
    </row>
    <row r="93" spans="1:37" x14ac:dyDescent="0.2">
      <c r="A93" s="512"/>
      <c r="B93" s="234" t="s">
        <v>236</v>
      </c>
      <c r="C93" s="235">
        <f t="shared" si="11"/>
        <v>61.347575257733979</v>
      </c>
      <c r="D93" s="235">
        <f t="shared" si="7"/>
        <v>1.0224595876288998</v>
      </c>
      <c r="E93" s="235">
        <f t="shared" ref="E93:E156" si="19">$C$68/($D$8-23)</f>
        <v>0.8520496563574177</v>
      </c>
      <c r="F93" s="236">
        <f t="shared" si="17"/>
        <v>1.8745092439863176</v>
      </c>
      <c r="G93" s="239">
        <f>SUM(D82:D93)</f>
        <v>13.206769673539958</v>
      </c>
      <c r="H93" s="515"/>
      <c r="I93" s="234" t="s">
        <v>236</v>
      </c>
      <c r="J93" s="235">
        <f t="shared" si="12"/>
        <v>554.12718333333396</v>
      </c>
      <c r="K93" s="235">
        <f t="shared" si="9"/>
        <v>9.2354530555555669</v>
      </c>
      <c r="L93" s="235">
        <f t="shared" si="10"/>
        <v>7.5907833333333334</v>
      </c>
      <c r="M93" s="236">
        <f t="shared" si="18"/>
        <v>16.826236388888901</v>
      </c>
      <c r="N93" s="239">
        <f>SUM(K82:K93)</f>
        <v>119.17529833333344</v>
      </c>
      <c r="O93" s="512"/>
      <c r="P93" s="234" t="s">
        <v>236</v>
      </c>
      <c r="Q93" s="235">
        <f t="shared" si="16"/>
        <v>635.53456944444531</v>
      </c>
      <c r="R93" s="235">
        <f t="shared" si="14"/>
        <v>10.59224282407409</v>
      </c>
      <c r="S93" s="235">
        <f t="shared" si="15"/>
        <v>6.5519027777777783</v>
      </c>
      <c r="T93" s="236">
        <f t="shared" si="4"/>
        <v>17.144145601851868</v>
      </c>
      <c r="U93" s="239">
        <f>SUM(R82:R93)</f>
        <v>134.31400694444457</v>
      </c>
      <c r="V93" s="512"/>
      <c r="W93" s="234" t="s">
        <v>236</v>
      </c>
      <c r="X93" s="235"/>
      <c r="Y93" s="235"/>
      <c r="Z93" s="235"/>
      <c r="AA93" s="236">
        <f t="shared" si="5"/>
        <v>0</v>
      </c>
      <c r="AB93" s="239">
        <f>SUM(Y82:Y93)</f>
        <v>0</v>
      </c>
      <c r="AC93" s="512"/>
      <c r="AD93" s="234" t="s">
        <v>236</v>
      </c>
      <c r="AE93" s="235"/>
      <c r="AF93" s="235"/>
      <c r="AG93" s="235"/>
      <c r="AH93" s="236">
        <f t="shared" si="6"/>
        <v>0</v>
      </c>
      <c r="AI93" s="239">
        <f>SUM(AF82:AF93)</f>
        <v>0</v>
      </c>
      <c r="AJ93" s="208">
        <f>AJ81+1</f>
        <v>2028</v>
      </c>
      <c r="AK93" s="240">
        <f>G93+N93+U93+AB93+AI93</f>
        <v>266.696074951318</v>
      </c>
    </row>
    <row r="94" spans="1:37" x14ac:dyDescent="0.2">
      <c r="A94" s="512">
        <f>A82+1</f>
        <v>2029</v>
      </c>
      <c r="B94" s="234" t="s">
        <v>225</v>
      </c>
      <c r="C94" s="235">
        <f t="shared" si="11"/>
        <v>60.495525601376563</v>
      </c>
      <c r="D94" s="235">
        <f t="shared" si="7"/>
        <v>1.0082587600229427</v>
      </c>
      <c r="E94" s="235">
        <f t="shared" si="19"/>
        <v>0.8520496563574177</v>
      </c>
      <c r="F94" s="236">
        <f t="shared" si="17"/>
        <v>1.8603084163803603</v>
      </c>
      <c r="G94" s="237"/>
      <c r="H94" s="513">
        <f>H82+1</f>
        <v>2029</v>
      </c>
      <c r="I94" s="234" t="s">
        <v>225</v>
      </c>
      <c r="J94" s="235">
        <f t="shared" si="12"/>
        <v>546.53640000000064</v>
      </c>
      <c r="K94" s="235">
        <f t="shared" si="9"/>
        <v>9.1089400000000111</v>
      </c>
      <c r="L94" s="235">
        <f t="shared" si="10"/>
        <v>7.5907833333333334</v>
      </c>
      <c r="M94" s="236">
        <f t="shared" si="18"/>
        <v>16.699723333333345</v>
      </c>
      <c r="N94" s="236"/>
      <c r="O94" s="512">
        <f>O82+1</f>
        <v>2029</v>
      </c>
      <c r="P94" s="234" t="s">
        <v>225</v>
      </c>
      <c r="Q94" s="235">
        <f t="shared" si="16"/>
        <v>628.98266666666757</v>
      </c>
      <c r="R94" s="235">
        <f t="shared" si="14"/>
        <v>10.483044444444459</v>
      </c>
      <c r="S94" s="235">
        <f t="shared" si="15"/>
        <v>6.5519027777777783</v>
      </c>
      <c r="T94" s="236">
        <f t="shared" si="4"/>
        <v>17.034947222222236</v>
      </c>
      <c r="U94" s="236"/>
      <c r="V94" s="512">
        <f>V82+1</f>
        <v>2028</v>
      </c>
      <c r="W94" s="234" t="s">
        <v>225</v>
      </c>
      <c r="X94" s="235"/>
      <c r="Y94" s="235"/>
      <c r="Z94" s="235"/>
      <c r="AA94" s="236">
        <f t="shared" si="5"/>
        <v>0</v>
      </c>
      <c r="AB94" s="236"/>
      <c r="AC94" s="512">
        <f>AC82+1</f>
        <v>2028</v>
      </c>
      <c r="AD94" s="234" t="s">
        <v>225</v>
      </c>
      <c r="AE94" s="235"/>
      <c r="AF94" s="235"/>
      <c r="AG94" s="235"/>
      <c r="AH94" s="236">
        <f t="shared" si="6"/>
        <v>0</v>
      </c>
      <c r="AI94" s="236"/>
      <c r="AK94" s="240"/>
    </row>
    <row r="95" spans="1:37" x14ac:dyDescent="0.2">
      <c r="A95" s="512"/>
      <c r="B95" s="234" t="s">
        <v>226</v>
      </c>
      <c r="C95" s="235">
        <f t="shared" si="11"/>
        <v>59.643475945019148</v>
      </c>
      <c r="D95" s="235">
        <f t="shared" si="7"/>
        <v>0.99405793241698592</v>
      </c>
      <c r="E95" s="235">
        <f t="shared" si="19"/>
        <v>0.8520496563574177</v>
      </c>
      <c r="F95" s="236">
        <f t="shared" si="17"/>
        <v>1.8461075887744036</v>
      </c>
      <c r="G95" s="238"/>
      <c r="H95" s="514"/>
      <c r="I95" s="234" t="s">
        <v>226</v>
      </c>
      <c r="J95" s="235">
        <f t="shared" si="12"/>
        <v>538.94561666666732</v>
      </c>
      <c r="K95" s="235">
        <f t="shared" si="9"/>
        <v>8.9824269444444553</v>
      </c>
      <c r="L95" s="235">
        <f t="shared" si="10"/>
        <v>7.5907833333333334</v>
      </c>
      <c r="M95" s="236">
        <f t="shared" si="18"/>
        <v>16.57321027777779</v>
      </c>
      <c r="N95" s="236"/>
      <c r="O95" s="512"/>
      <c r="P95" s="234" t="s">
        <v>226</v>
      </c>
      <c r="Q95" s="235">
        <f t="shared" si="16"/>
        <v>622.43076388888983</v>
      </c>
      <c r="R95" s="235">
        <f t="shared" si="14"/>
        <v>10.373846064814831</v>
      </c>
      <c r="S95" s="235">
        <f t="shared" si="15"/>
        <v>6.5519027777777783</v>
      </c>
      <c r="T95" s="236">
        <f t="shared" si="4"/>
        <v>16.925748842592611</v>
      </c>
      <c r="U95" s="236"/>
      <c r="V95" s="512"/>
      <c r="W95" s="234" t="s">
        <v>226</v>
      </c>
      <c r="X95" s="235"/>
      <c r="Y95" s="235"/>
      <c r="Z95" s="235"/>
      <c r="AA95" s="236">
        <f t="shared" si="5"/>
        <v>0</v>
      </c>
      <c r="AB95" s="236"/>
      <c r="AC95" s="512"/>
      <c r="AD95" s="234" t="s">
        <v>226</v>
      </c>
      <c r="AE95" s="235"/>
      <c r="AF95" s="235"/>
      <c r="AG95" s="235"/>
      <c r="AH95" s="236">
        <f t="shared" si="6"/>
        <v>0</v>
      </c>
      <c r="AI95" s="236"/>
      <c r="AK95" s="240"/>
    </row>
    <row r="96" spans="1:37" x14ac:dyDescent="0.2">
      <c r="A96" s="512"/>
      <c r="B96" s="234" t="s">
        <v>227</v>
      </c>
      <c r="C96" s="235">
        <f t="shared" si="11"/>
        <v>58.791426288661732</v>
      </c>
      <c r="D96" s="235">
        <f t="shared" si="7"/>
        <v>0.97985710481102883</v>
      </c>
      <c r="E96" s="235">
        <f t="shared" si="19"/>
        <v>0.8520496563574177</v>
      </c>
      <c r="F96" s="236">
        <f t="shared" si="17"/>
        <v>1.8319067611684465</v>
      </c>
      <c r="G96" s="238"/>
      <c r="H96" s="514"/>
      <c r="I96" s="234" t="s">
        <v>227</v>
      </c>
      <c r="J96" s="235">
        <f t="shared" si="12"/>
        <v>531.354833333334</v>
      </c>
      <c r="K96" s="235">
        <f t="shared" si="9"/>
        <v>8.8559138888889013</v>
      </c>
      <c r="L96" s="235">
        <f t="shared" si="10"/>
        <v>7.5907833333333334</v>
      </c>
      <c r="M96" s="236">
        <f t="shared" si="18"/>
        <v>16.446697222222234</v>
      </c>
      <c r="N96" s="236"/>
      <c r="O96" s="512"/>
      <c r="P96" s="234" t="s">
        <v>227</v>
      </c>
      <c r="Q96" s="235">
        <f t="shared" si="16"/>
        <v>615.87886111111209</v>
      </c>
      <c r="R96" s="235">
        <f t="shared" si="14"/>
        <v>10.264647685185201</v>
      </c>
      <c r="S96" s="235">
        <f t="shared" si="15"/>
        <v>6.5519027777777783</v>
      </c>
      <c r="T96" s="236">
        <f t="shared" si="4"/>
        <v>16.816550462962979</v>
      </c>
      <c r="U96" s="236"/>
      <c r="V96" s="512"/>
      <c r="W96" s="234" t="s">
        <v>227</v>
      </c>
      <c r="X96" s="235"/>
      <c r="Y96" s="235"/>
      <c r="Z96" s="235"/>
      <c r="AA96" s="236">
        <f t="shared" si="5"/>
        <v>0</v>
      </c>
      <c r="AB96" s="236"/>
      <c r="AC96" s="512"/>
      <c r="AD96" s="234" t="s">
        <v>227</v>
      </c>
      <c r="AE96" s="235"/>
      <c r="AF96" s="235"/>
      <c r="AG96" s="235"/>
      <c r="AH96" s="236">
        <f t="shared" si="6"/>
        <v>0</v>
      </c>
      <c r="AI96" s="236"/>
      <c r="AK96" s="240"/>
    </row>
    <row r="97" spans="1:37" x14ac:dyDescent="0.2">
      <c r="A97" s="512"/>
      <c r="B97" s="234" t="s">
        <v>228</v>
      </c>
      <c r="C97" s="235">
        <f t="shared" si="11"/>
        <v>57.939376632304317</v>
      </c>
      <c r="D97" s="235">
        <f t="shared" si="7"/>
        <v>0.96565627720507197</v>
      </c>
      <c r="E97" s="235">
        <f t="shared" si="19"/>
        <v>0.8520496563574177</v>
      </c>
      <c r="F97" s="236">
        <f t="shared" si="17"/>
        <v>1.8177059335624897</v>
      </c>
      <c r="G97" s="238"/>
      <c r="H97" s="514"/>
      <c r="I97" s="234" t="s">
        <v>228</v>
      </c>
      <c r="J97" s="235">
        <f t="shared" si="12"/>
        <v>523.76405000000068</v>
      </c>
      <c r="K97" s="235">
        <f t="shared" si="9"/>
        <v>8.7294008333333455</v>
      </c>
      <c r="L97" s="235">
        <f t="shared" si="10"/>
        <v>7.5907833333333334</v>
      </c>
      <c r="M97" s="236">
        <f t="shared" si="18"/>
        <v>16.320184166666678</v>
      </c>
      <c r="N97" s="236"/>
      <c r="O97" s="512"/>
      <c r="P97" s="234" t="s">
        <v>228</v>
      </c>
      <c r="Q97" s="235">
        <f t="shared" si="16"/>
        <v>609.32695833333435</v>
      </c>
      <c r="R97" s="235">
        <f t="shared" si="14"/>
        <v>10.155449305555573</v>
      </c>
      <c r="S97" s="235">
        <f t="shared" si="15"/>
        <v>6.5519027777777783</v>
      </c>
      <c r="T97" s="236">
        <f t="shared" si="4"/>
        <v>16.707352083333351</v>
      </c>
      <c r="U97" s="236"/>
      <c r="V97" s="512"/>
      <c r="W97" s="234" t="s">
        <v>228</v>
      </c>
      <c r="X97" s="235"/>
      <c r="Y97" s="235"/>
      <c r="Z97" s="235"/>
      <c r="AA97" s="236">
        <f t="shared" si="5"/>
        <v>0</v>
      </c>
      <c r="AB97" s="236"/>
      <c r="AC97" s="512"/>
      <c r="AD97" s="234" t="s">
        <v>228</v>
      </c>
      <c r="AE97" s="235"/>
      <c r="AF97" s="235"/>
      <c r="AG97" s="235"/>
      <c r="AH97" s="236">
        <f t="shared" si="6"/>
        <v>0</v>
      </c>
      <c r="AI97" s="236"/>
      <c r="AK97" s="240"/>
    </row>
    <row r="98" spans="1:37" x14ac:dyDescent="0.2">
      <c r="A98" s="512"/>
      <c r="B98" s="234" t="s">
        <v>229</v>
      </c>
      <c r="C98" s="235">
        <f t="shared" si="11"/>
        <v>57.087326975946901</v>
      </c>
      <c r="D98" s="235">
        <f t="shared" si="7"/>
        <v>0.9514554495991151</v>
      </c>
      <c r="E98" s="235">
        <f t="shared" si="19"/>
        <v>0.8520496563574177</v>
      </c>
      <c r="F98" s="236">
        <f t="shared" si="17"/>
        <v>1.8035051059565328</v>
      </c>
      <c r="G98" s="238"/>
      <c r="H98" s="514"/>
      <c r="I98" s="234" t="s">
        <v>229</v>
      </c>
      <c r="J98" s="235">
        <f t="shared" si="12"/>
        <v>516.17326666666736</v>
      </c>
      <c r="K98" s="235">
        <f t="shared" si="9"/>
        <v>8.6028877777777897</v>
      </c>
      <c r="L98" s="235">
        <f t="shared" si="10"/>
        <v>7.5907833333333334</v>
      </c>
      <c r="M98" s="236">
        <f t="shared" si="18"/>
        <v>16.193671111111122</v>
      </c>
      <c r="N98" s="236"/>
      <c r="O98" s="512"/>
      <c r="P98" s="234" t="s">
        <v>229</v>
      </c>
      <c r="Q98" s="235">
        <f t="shared" si="16"/>
        <v>602.77505555555661</v>
      </c>
      <c r="R98" s="235">
        <f t="shared" si="14"/>
        <v>10.046250925925944</v>
      </c>
      <c r="S98" s="235">
        <f t="shared" si="15"/>
        <v>6.5519027777777783</v>
      </c>
      <c r="T98" s="236">
        <f t="shared" si="4"/>
        <v>16.598153703703723</v>
      </c>
      <c r="U98" s="236"/>
      <c r="V98" s="512"/>
      <c r="W98" s="234" t="s">
        <v>229</v>
      </c>
      <c r="X98" s="235"/>
      <c r="Y98" s="235"/>
      <c r="Z98" s="235"/>
      <c r="AA98" s="236">
        <f t="shared" si="5"/>
        <v>0</v>
      </c>
      <c r="AB98" s="236"/>
      <c r="AC98" s="512"/>
      <c r="AD98" s="234" t="s">
        <v>229</v>
      </c>
      <c r="AE98" s="235"/>
      <c r="AF98" s="235"/>
      <c r="AG98" s="235"/>
      <c r="AH98" s="236">
        <f t="shared" si="6"/>
        <v>0</v>
      </c>
      <c r="AI98" s="236"/>
      <c r="AK98" s="240"/>
    </row>
    <row r="99" spans="1:37" x14ac:dyDescent="0.2">
      <c r="A99" s="512"/>
      <c r="B99" s="234" t="s">
        <v>230</v>
      </c>
      <c r="C99" s="235">
        <f t="shared" si="11"/>
        <v>56.235277319589486</v>
      </c>
      <c r="D99" s="235">
        <f t="shared" si="7"/>
        <v>0.93725462199315812</v>
      </c>
      <c r="E99" s="235">
        <f t="shared" si="19"/>
        <v>0.8520496563574177</v>
      </c>
      <c r="F99" s="236">
        <f t="shared" si="17"/>
        <v>1.7893042783505759</v>
      </c>
      <c r="G99" s="238"/>
      <c r="H99" s="514"/>
      <c r="I99" s="234" t="s">
        <v>230</v>
      </c>
      <c r="J99" s="235">
        <f t="shared" si="12"/>
        <v>508.58248333333404</v>
      </c>
      <c r="K99" s="235">
        <f t="shared" si="9"/>
        <v>8.4763747222222339</v>
      </c>
      <c r="L99" s="235">
        <f t="shared" si="10"/>
        <v>7.5907833333333334</v>
      </c>
      <c r="M99" s="236">
        <f t="shared" si="18"/>
        <v>16.067158055555566</v>
      </c>
      <c r="N99" s="236"/>
      <c r="O99" s="512"/>
      <c r="P99" s="234" t="s">
        <v>230</v>
      </c>
      <c r="Q99" s="235">
        <f t="shared" si="16"/>
        <v>596.22315277777886</v>
      </c>
      <c r="R99" s="235">
        <f t="shared" si="14"/>
        <v>9.9370525462963144</v>
      </c>
      <c r="S99" s="235">
        <f t="shared" si="15"/>
        <v>6.5519027777777783</v>
      </c>
      <c r="T99" s="236">
        <f t="shared" si="4"/>
        <v>16.488955324074091</v>
      </c>
      <c r="U99" s="236"/>
      <c r="V99" s="512"/>
      <c r="W99" s="234" t="s">
        <v>230</v>
      </c>
      <c r="X99" s="235"/>
      <c r="Y99" s="235"/>
      <c r="Z99" s="235"/>
      <c r="AA99" s="236">
        <f t="shared" si="5"/>
        <v>0</v>
      </c>
      <c r="AB99" s="236"/>
      <c r="AC99" s="512"/>
      <c r="AD99" s="234" t="s">
        <v>230</v>
      </c>
      <c r="AE99" s="235"/>
      <c r="AF99" s="235"/>
      <c r="AG99" s="235"/>
      <c r="AH99" s="236">
        <f t="shared" si="6"/>
        <v>0</v>
      </c>
      <c r="AI99" s="236"/>
      <c r="AK99" s="240"/>
    </row>
    <row r="100" spans="1:37" x14ac:dyDescent="0.2">
      <c r="A100" s="512"/>
      <c r="B100" s="234" t="s">
        <v>231</v>
      </c>
      <c r="C100" s="235">
        <f t="shared" si="11"/>
        <v>55.38322766323207</v>
      </c>
      <c r="D100" s="235">
        <f t="shared" si="7"/>
        <v>0.92305379438720125</v>
      </c>
      <c r="E100" s="235">
        <f t="shared" si="19"/>
        <v>0.8520496563574177</v>
      </c>
      <c r="F100" s="236">
        <f t="shared" si="17"/>
        <v>1.7751034507446191</v>
      </c>
      <c r="G100" s="238"/>
      <c r="H100" s="514"/>
      <c r="I100" s="234" t="s">
        <v>231</v>
      </c>
      <c r="J100" s="235">
        <f t="shared" si="12"/>
        <v>500.99170000000072</v>
      </c>
      <c r="K100" s="235">
        <f t="shared" si="9"/>
        <v>8.3498616666666781</v>
      </c>
      <c r="L100" s="235">
        <f t="shared" si="10"/>
        <v>7.5907833333333334</v>
      </c>
      <c r="M100" s="236">
        <f t="shared" si="18"/>
        <v>15.940645000000011</v>
      </c>
      <c r="N100" s="236"/>
      <c r="O100" s="512"/>
      <c r="P100" s="234" t="s">
        <v>231</v>
      </c>
      <c r="Q100" s="235">
        <f t="shared" si="16"/>
        <v>589.67125000000112</v>
      </c>
      <c r="R100" s="235">
        <f t="shared" si="14"/>
        <v>9.8278541666666861</v>
      </c>
      <c r="S100" s="235">
        <f t="shared" si="15"/>
        <v>6.5519027777777783</v>
      </c>
      <c r="T100" s="236">
        <f t="shared" ref="T100:T163" si="20">R100+S100</f>
        <v>16.379756944444466</v>
      </c>
      <c r="U100" s="236"/>
      <c r="V100" s="512"/>
      <c r="W100" s="234" t="s">
        <v>231</v>
      </c>
      <c r="X100" s="235"/>
      <c r="Y100" s="235"/>
      <c r="Z100" s="235"/>
      <c r="AA100" s="236">
        <f t="shared" ref="AA100:AA163" si="21">Y100+Z100</f>
        <v>0</v>
      </c>
      <c r="AB100" s="236"/>
      <c r="AC100" s="512"/>
      <c r="AD100" s="234" t="s">
        <v>231</v>
      </c>
      <c r="AE100" s="235"/>
      <c r="AF100" s="235"/>
      <c r="AG100" s="235"/>
      <c r="AH100" s="236">
        <f t="shared" ref="AH100:AH163" si="22">AF100+AG100</f>
        <v>0</v>
      </c>
      <c r="AI100" s="236"/>
      <c r="AK100" s="240"/>
    </row>
    <row r="101" spans="1:37" x14ac:dyDescent="0.2">
      <c r="A101" s="512"/>
      <c r="B101" s="234" t="s">
        <v>232</v>
      </c>
      <c r="C101" s="235">
        <f t="shared" si="11"/>
        <v>54.531178006874654</v>
      </c>
      <c r="D101" s="235">
        <f t="shared" si="7"/>
        <v>0.90885296678124428</v>
      </c>
      <c r="E101" s="235">
        <f t="shared" si="19"/>
        <v>0.8520496563574177</v>
      </c>
      <c r="F101" s="236">
        <f t="shared" si="17"/>
        <v>1.760902623138662</v>
      </c>
      <c r="G101" s="238"/>
      <c r="H101" s="514"/>
      <c r="I101" s="234" t="s">
        <v>232</v>
      </c>
      <c r="J101" s="235">
        <f t="shared" si="12"/>
        <v>493.4009166666674</v>
      </c>
      <c r="K101" s="235">
        <f t="shared" si="9"/>
        <v>8.223348611111124</v>
      </c>
      <c r="L101" s="235">
        <f t="shared" si="10"/>
        <v>7.5907833333333334</v>
      </c>
      <c r="M101" s="236">
        <f t="shared" si="18"/>
        <v>15.814131944444458</v>
      </c>
      <c r="N101" s="236"/>
      <c r="O101" s="512"/>
      <c r="P101" s="234" t="s">
        <v>232</v>
      </c>
      <c r="Q101" s="235">
        <f t="shared" si="16"/>
        <v>583.11934722222338</v>
      </c>
      <c r="R101" s="235">
        <f t="shared" si="14"/>
        <v>9.718655787037056</v>
      </c>
      <c r="S101" s="235">
        <f t="shared" si="15"/>
        <v>6.5519027777777783</v>
      </c>
      <c r="T101" s="236">
        <f t="shared" si="20"/>
        <v>16.270558564814834</v>
      </c>
      <c r="U101" s="236"/>
      <c r="V101" s="512"/>
      <c r="W101" s="234" t="s">
        <v>232</v>
      </c>
      <c r="X101" s="235"/>
      <c r="Y101" s="235"/>
      <c r="Z101" s="235"/>
      <c r="AA101" s="236">
        <f t="shared" si="21"/>
        <v>0</v>
      </c>
      <c r="AB101" s="236"/>
      <c r="AC101" s="512"/>
      <c r="AD101" s="234" t="s">
        <v>232</v>
      </c>
      <c r="AE101" s="235"/>
      <c r="AF101" s="235"/>
      <c r="AG101" s="235"/>
      <c r="AH101" s="236">
        <f t="shared" si="22"/>
        <v>0</v>
      </c>
      <c r="AI101" s="236"/>
      <c r="AK101" s="240"/>
    </row>
    <row r="102" spans="1:37" x14ac:dyDescent="0.2">
      <c r="A102" s="512"/>
      <c r="B102" s="234" t="s">
        <v>233</v>
      </c>
      <c r="C102" s="235">
        <f t="shared" si="11"/>
        <v>53.679128350517239</v>
      </c>
      <c r="D102" s="235">
        <f t="shared" si="7"/>
        <v>0.89465213917528741</v>
      </c>
      <c r="E102" s="235">
        <f t="shared" si="19"/>
        <v>0.8520496563574177</v>
      </c>
      <c r="F102" s="236">
        <f t="shared" si="17"/>
        <v>1.7467017955327051</v>
      </c>
      <c r="G102" s="238"/>
      <c r="H102" s="514"/>
      <c r="I102" s="234" t="s">
        <v>233</v>
      </c>
      <c r="J102" s="235">
        <f t="shared" si="12"/>
        <v>485.81013333333408</v>
      </c>
      <c r="K102" s="235">
        <f t="shared" si="9"/>
        <v>8.0968355555555682</v>
      </c>
      <c r="L102" s="235">
        <f t="shared" si="10"/>
        <v>7.5907833333333334</v>
      </c>
      <c r="M102" s="236">
        <f t="shared" si="18"/>
        <v>15.687618888888903</v>
      </c>
      <c r="N102" s="236"/>
      <c r="O102" s="512"/>
      <c r="P102" s="234" t="s">
        <v>233</v>
      </c>
      <c r="Q102" s="235">
        <f t="shared" si="16"/>
        <v>576.56744444444564</v>
      </c>
      <c r="R102" s="235">
        <f t="shared" si="14"/>
        <v>9.6094574074074277</v>
      </c>
      <c r="S102" s="235">
        <f t="shared" si="15"/>
        <v>6.5519027777777783</v>
      </c>
      <c r="T102" s="236">
        <f t="shared" si="20"/>
        <v>16.161360185185206</v>
      </c>
      <c r="U102" s="236"/>
      <c r="V102" s="512"/>
      <c r="W102" s="234" t="s">
        <v>233</v>
      </c>
      <c r="X102" s="235"/>
      <c r="Y102" s="235"/>
      <c r="Z102" s="235"/>
      <c r="AA102" s="236">
        <f t="shared" si="21"/>
        <v>0</v>
      </c>
      <c r="AB102" s="236"/>
      <c r="AC102" s="512"/>
      <c r="AD102" s="234" t="s">
        <v>233</v>
      </c>
      <c r="AE102" s="235"/>
      <c r="AF102" s="235"/>
      <c r="AG102" s="235"/>
      <c r="AH102" s="236">
        <f t="shared" si="22"/>
        <v>0</v>
      </c>
      <c r="AI102" s="236"/>
      <c r="AK102" s="240"/>
    </row>
    <row r="103" spans="1:37" x14ac:dyDescent="0.2">
      <c r="A103" s="512"/>
      <c r="B103" s="234" t="s">
        <v>234</v>
      </c>
      <c r="C103" s="235">
        <f t="shared" si="11"/>
        <v>52.827078694159823</v>
      </c>
      <c r="D103" s="235">
        <f t="shared" si="7"/>
        <v>0.88045131156933054</v>
      </c>
      <c r="E103" s="235">
        <f t="shared" si="19"/>
        <v>0.8520496563574177</v>
      </c>
      <c r="F103" s="236">
        <f t="shared" si="17"/>
        <v>1.7325009679267482</v>
      </c>
      <c r="G103" s="238"/>
      <c r="H103" s="514"/>
      <c r="I103" s="234" t="s">
        <v>234</v>
      </c>
      <c r="J103" s="235">
        <f t="shared" si="12"/>
        <v>478.21935000000076</v>
      </c>
      <c r="K103" s="235">
        <f t="shared" si="9"/>
        <v>7.9703225000000133</v>
      </c>
      <c r="L103" s="235">
        <f t="shared" si="10"/>
        <v>7.5907833333333334</v>
      </c>
      <c r="M103" s="236">
        <f t="shared" si="18"/>
        <v>15.561105833333347</v>
      </c>
      <c r="N103" s="236"/>
      <c r="O103" s="512"/>
      <c r="P103" s="234" t="s">
        <v>234</v>
      </c>
      <c r="Q103" s="235">
        <f t="shared" si="16"/>
        <v>570.0155416666679</v>
      </c>
      <c r="R103" s="235">
        <f t="shared" si="14"/>
        <v>9.5002590277777994</v>
      </c>
      <c r="S103" s="235">
        <f t="shared" si="15"/>
        <v>6.5519027777777783</v>
      </c>
      <c r="T103" s="236">
        <f t="shared" si="20"/>
        <v>16.052161805555578</v>
      </c>
      <c r="U103" s="236"/>
      <c r="V103" s="512"/>
      <c r="W103" s="234" t="s">
        <v>234</v>
      </c>
      <c r="X103" s="235"/>
      <c r="Y103" s="235"/>
      <c r="Z103" s="235"/>
      <c r="AA103" s="236">
        <f t="shared" si="21"/>
        <v>0</v>
      </c>
      <c r="AB103" s="236"/>
      <c r="AC103" s="512"/>
      <c r="AD103" s="234" t="s">
        <v>234</v>
      </c>
      <c r="AE103" s="235"/>
      <c r="AF103" s="235"/>
      <c r="AG103" s="235"/>
      <c r="AH103" s="236">
        <f t="shared" si="22"/>
        <v>0</v>
      </c>
      <c r="AI103" s="236"/>
      <c r="AK103" s="240"/>
    </row>
    <row r="104" spans="1:37" x14ac:dyDescent="0.2">
      <c r="A104" s="512"/>
      <c r="B104" s="234" t="s">
        <v>235</v>
      </c>
      <c r="C104" s="235">
        <f t="shared" si="11"/>
        <v>51.975029037802408</v>
      </c>
      <c r="D104" s="235">
        <f t="shared" si="7"/>
        <v>0.86625048396337345</v>
      </c>
      <c r="E104" s="235">
        <f t="shared" si="19"/>
        <v>0.8520496563574177</v>
      </c>
      <c r="F104" s="236">
        <f t="shared" si="17"/>
        <v>1.7183001403207911</v>
      </c>
      <c r="G104" s="238"/>
      <c r="H104" s="514"/>
      <c r="I104" s="234" t="s">
        <v>235</v>
      </c>
      <c r="J104" s="235">
        <f t="shared" si="12"/>
        <v>470.62856666666744</v>
      </c>
      <c r="K104" s="235">
        <f t="shared" si="9"/>
        <v>7.8438094444444575</v>
      </c>
      <c r="L104" s="235">
        <f t="shared" si="10"/>
        <v>7.5907833333333334</v>
      </c>
      <c r="M104" s="236">
        <f t="shared" si="18"/>
        <v>15.434592777777791</v>
      </c>
      <c r="N104" s="236"/>
      <c r="O104" s="512"/>
      <c r="P104" s="234" t="s">
        <v>235</v>
      </c>
      <c r="Q104" s="235">
        <f t="shared" si="16"/>
        <v>563.46363888889016</v>
      </c>
      <c r="R104" s="235">
        <f t="shared" si="14"/>
        <v>9.3910606481481693</v>
      </c>
      <c r="S104" s="235">
        <f t="shared" si="15"/>
        <v>6.5519027777777783</v>
      </c>
      <c r="T104" s="236">
        <f t="shared" si="20"/>
        <v>15.942963425925948</v>
      </c>
      <c r="U104" s="236"/>
      <c r="V104" s="512"/>
      <c r="W104" s="234" t="s">
        <v>235</v>
      </c>
      <c r="X104" s="235"/>
      <c r="Y104" s="235"/>
      <c r="Z104" s="235"/>
      <c r="AA104" s="236">
        <f t="shared" si="21"/>
        <v>0</v>
      </c>
      <c r="AB104" s="236"/>
      <c r="AC104" s="512"/>
      <c r="AD104" s="234" t="s">
        <v>235</v>
      </c>
      <c r="AE104" s="235"/>
      <c r="AF104" s="235"/>
      <c r="AG104" s="235"/>
      <c r="AH104" s="236">
        <f t="shared" si="22"/>
        <v>0</v>
      </c>
      <c r="AI104" s="236"/>
      <c r="AK104" s="240"/>
    </row>
    <row r="105" spans="1:37" x14ac:dyDescent="0.2">
      <c r="A105" s="512"/>
      <c r="B105" s="234" t="s">
        <v>236</v>
      </c>
      <c r="C105" s="235">
        <f t="shared" si="11"/>
        <v>51.122979381444992</v>
      </c>
      <c r="D105" s="235">
        <f t="shared" si="7"/>
        <v>0.85204965635741658</v>
      </c>
      <c r="E105" s="235">
        <f t="shared" si="19"/>
        <v>0.8520496563574177</v>
      </c>
      <c r="F105" s="236">
        <f t="shared" si="17"/>
        <v>1.7040993127148343</v>
      </c>
      <c r="G105" s="239">
        <f>SUM(D94:D105)</f>
        <v>11.161850498282156</v>
      </c>
      <c r="H105" s="515"/>
      <c r="I105" s="234" t="s">
        <v>236</v>
      </c>
      <c r="J105" s="235">
        <f t="shared" si="12"/>
        <v>463.03778333333412</v>
      </c>
      <c r="K105" s="235">
        <f t="shared" si="9"/>
        <v>7.7172963888889017</v>
      </c>
      <c r="L105" s="235">
        <f t="shared" si="10"/>
        <v>7.5907833333333334</v>
      </c>
      <c r="M105" s="236">
        <f t="shared" si="18"/>
        <v>15.308079722222235</v>
      </c>
      <c r="N105" s="239">
        <f>SUM(K94:K105)</f>
        <v>100.95741833333346</v>
      </c>
      <c r="O105" s="512"/>
      <c r="P105" s="234" t="s">
        <v>236</v>
      </c>
      <c r="Q105" s="235">
        <f t="shared" si="16"/>
        <v>556.91173611111242</v>
      </c>
      <c r="R105" s="235">
        <f t="shared" si="14"/>
        <v>9.281862268518541</v>
      </c>
      <c r="S105" s="235">
        <f t="shared" si="15"/>
        <v>6.5519027777777783</v>
      </c>
      <c r="T105" s="236">
        <f t="shared" si="20"/>
        <v>15.833765046296319</v>
      </c>
      <c r="U105" s="239">
        <f>SUM(R94:R105)</f>
        <v>118.589440277778</v>
      </c>
      <c r="V105" s="512"/>
      <c r="W105" s="234" t="s">
        <v>236</v>
      </c>
      <c r="X105" s="235"/>
      <c r="Y105" s="235"/>
      <c r="Z105" s="235"/>
      <c r="AA105" s="236">
        <f t="shared" si="21"/>
        <v>0</v>
      </c>
      <c r="AB105" s="239">
        <f>SUM(Y94:Y105)</f>
        <v>0</v>
      </c>
      <c r="AC105" s="512"/>
      <c r="AD105" s="234" t="s">
        <v>236</v>
      </c>
      <c r="AE105" s="235"/>
      <c r="AF105" s="235"/>
      <c r="AG105" s="235"/>
      <c r="AH105" s="236">
        <f t="shared" si="22"/>
        <v>0</v>
      </c>
      <c r="AI105" s="239">
        <f>SUM(AF94:AF105)</f>
        <v>0</v>
      </c>
      <c r="AJ105" s="208">
        <f>AJ93+1</f>
        <v>2029</v>
      </c>
      <c r="AK105" s="240">
        <f>G105+N105+U105+AB105+AI105</f>
        <v>230.70870910939362</v>
      </c>
    </row>
    <row r="106" spans="1:37" x14ac:dyDescent="0.2">
      <c r="A106" s="513">
        <f>A94+1</f>
        <v>2030</v>
      </c>
      <c r="B106" s="234" t="s">
        <v>225</v>
      </c>
      <c r="C106" s="235">
        <f t="shared" si="11"/>
        <v>50.270929725087576</v>
      </c>
      <c r="D106" s="235">
        <f t="shared" si="7"/>
        <v>0.83784882875145961</v>
      </c>
      <c r="E106" s="235">
        <f t="shared" si="19"/>
        <v>0.8520496563574177</v>
      </c>
      <c r="F106" s="236">
        <f t="shared" si="17"/>
        <v>1.6898984851088774</v>
      </c>
      <c r="G106" s="237"/>
      <c r="H106" s="513">
        <f>H94+1</f>
        <v>2030</v>
      </c>
      <c r="I106" s="234" t="s">
        <v>225</v>
      </c>
      <c r="J106" s="235">
        <f t="shared" si="12"/>
        <v>455.4470000000008</v>
      </c>
      <c r="K106" s="235">
        <f t="shared" si="9"/>
        <v>7.5907833333333476</v>
      </c>
      <c r="L106" s="235">
        <f t="shared" si="10"/>
        <v>7.5907833333333334</v>
      </c>
      <c r="M106" s="236">
        <f t="shared" si="18"/>
        <v>15.181566666666681</v>
      </c>
      <c r="N106" s="237"/>
      <c r="O106" s="513">
        <f>O94+1</f>
        <v>2030</v>
      </c>
      <c r="P106" s="234" t="s">
        <v>225</v>
      </c>
      <c r="Q106" s="235">
        <f t="shared" si="16"/>
        <v>550.35983333333468</v>
      </c>
      <c r="R106" s="235">
        <f t="shared" si="14"/>
        <v>9.1726638888889109</v>
      </c>
      <c r="S106" s="235">
        <f t="shared" si="15"/>
        <v>6.5519027777777783</v>
      </c>
      <c r="T106" s="236">
        <f t="shared" si="20"/>
        <v>15.724566666666689</v>
      </c>
      <c r="U106" s="237"/>
      <c r="V106" s="513">
        <f>V94+1</f>
        <v>2029</v>
      </c>
      <c r="W106" s="234" t="s">
        <v>225</v>
      </c>
      <c r="X106" s="235"/>
      <c r="Y106" s="235"/>
      <c r="Z106" s="235"/>
      <c r="AA106" s="236">
        <f t="shared" si="21"/>
        <v>0</v>
      </c>
      <c r="AB106" s="237"/>
      <c r="AC106" s="513">
        <f>AC94+1</f>
        <v>2029</v>
      </c>
      <c r="AD106" s="234" t="s">
        <v>225</v>
      </c>
      <c r="AE106" s="235"/>
      <c r="AF106" s="235"/>
      <c r="AG106" s="235"/>
      <c r="AH106" s="236">
        <f t="shared" si="22"/>
        <v>0</v>
      </c>
      <c r="AI106" s="237"/>
      <c r="AK106" s="240"/>
    </row>
    <row r="107" spans="1:37" x14ac:dyDescent="0.2">
      <c r="A107" s="514"/>
      <c r="B107" s="234" t="s">
        <v>226</v>
      </c>
      <c r="C107" s="235">
        <f t="shared" si="11"/>
        <v>49.418880068730161</v>
      </c>
      <c r="D107" s="235">
        <f t="shared" si="7"/>
        <v>0.82364800114550274</v>
      </c>
      <c r="E107" s="235">
        <f t="shared" si="19"/>
        <v>0.8520496563574177</v>
      </c>
      <c r="F107" s="236">
        <f t="shared" si="17"/>
        <v>1.6756976575029205</v>
      </c>
      <c r="G107" s="238"/>
      <c r="H107" s="514"/>
      <c r="I107" s="234" t="s">
        <v>226</v>
      </c>
      <c r="J107" s="235">
        <f t="shared" si="12"/>
        <v>447.85621666666748</v>
      </c>
      <c r="K107" s="235">
        <f t="shared" si="9"/>
        <v>7.4642702777777918</v>
      </c>
      <c r="L107" s="235">
        <f t="shared" si="10"/>
        <v>7.5907833333333334</v>
      </c>
      <c r="M107" s="236">
        <f t="shared" si="18"/>
        <v>15.055053611111125</v>
      </c>
      <c r="N107" s="238"/>
      <c r="O107" s="514"/>
      <c r="P107" s="234" t="s">
        <v>226</v>
      </c>
      <c r="Q107" s="235">
        <f t="shared" si="16"/>
        <v>543.80793055555694</v>
      </c>
      <c r="R107" s="235">
        <f t="shared" si="14"/>
        <v>9.0634655092592826</v>
      </c>
      <c r="S107" s="235">
        <f t="shared" si="15"/>
        <v>6.5519027777777783</v>
      </c>
      <c r="T107" s="236">
        <f t="shared" si="20"/>
        <v>15.615368287037061</v>
      </c>
      <c r="U107" s="238"/>
      <c r="V107" s="514"/>
      <c r="W107" s="234" t="s">
        <v>226</v>
      </c>
      <c r="X107" s="235"/>
      <c r="Y107" s="235"/>
      <c r="Z107" s="235"/>
      <c r="AA107" s="236">
        <f t="shared" si="21"/>
        <v>0</v>
      </c>
      <c r="AB107" s="238"/>
      <c r="AC107" s="514"/>
      <c r="AD107" s="234" t="s">
        <v>226</v>
      </c>
      <c r="AE107" s="235"/>
      <c r="AF107" s="235"/>
      <c r="AG107" s="235"/>
      <c r="AH107" s="236">
        <f t="shared" si="22"/>
        <v>0</v>
      </c>
      <c r="AI107" s="238"/>
      <c r="AK107" s="240"/>
    </row>
    <row r="108" spans="1:37" x14ac:dyDescent="0.2">
      <c r="A108" s="514"/>
      <c r="B108" s="234" t="s">
        <v>227</v>
      </c>
      <c r="C108" s="235">
        <f t="shared" si="11"/>
        <v>48.566830412372745</v>
      </c>
      <c r="D108" s="235">
        <f t="shared" si="7"/>
        <v>0.80944717353954587</v>
      </c>
      <c r="E108" s="235">
        <f t="shared" si="19"/>
        <v>0.8520496563574177</v>
      </c>
      <c r="F108" s="236">
        <f t="shared" si="17"/>
        <v>1.6614968298969637</v>
      </c>
      <c r="G108" s="238"/>
      <c r="H108" s="514"/>
      <c r="I108" s="234" t="s">
        <v>227</v>
      </c>
      <c r="J108" s="235">
        <f t="shared" si="12"/>
        <v>440.26543333333416</v>
      </c>
      <c r="K108" s="235">
        <f t="shared" si="9"/>
        <v>7.3377572222222369</v>
      </c>
      <c r="L108" s="235">
        <f t="shared" si="10"/>
        <v>7.5907833333333334</v>
      </c>
      <c r="M108" s="236">
        <f t="shared" si="18"/>
        <v>14.928540555555571</v>
      </c>
      <c r="N108" s="238"/>
      <c r="O108" s="514"/>
      <c r="P108" s="234" t="s">
        <v>227</v>
      </c>
      <c r="Q108" s="235">
        <f t="shared" si="16"/>
        <v>537.2560277777792</v>
      </c>
      <c r="R108" s="235">
        <f t="shared" si="14"/>
        <v>8.9542671296296543</v>
      </c>
      <c r="S108" s="235">
        <f t="shared" si="15"/>
        <v>6.5519027777777783</v>
      </c>
      <c r="T108" s="236">
        <f t="shared" si="20"/>
        <v>15.506169907407433</v>
      </c>
      <c r="U108" s="238"/>
      <c r="V108" s="514"/>
      <c r="W108" s="234" t="s">
        <v>227</v>
      </c>
      <c r="X108" s="235"/>
      <c r="Y108" s="235"/>
      <c r="Z108" s="235"/>
      <c r="AA108" s="236">
        <f t="shared" si="21"/>
        <v>0</v>
      </c>
      <c r="AB108" s="238"/>
      <c r="AC108" s="514"/>
      <c r="AD108" s="234" t="s">
        <v>227</v>
      </c>
      <c r="AE108" s="235"/>
      <c r="AF108" s="235"/>
      <c r="AG108" s="235"/>
      <c r="AH108" s="236">
        <f t="shared" si="22"/>
        <v>0</v>
      </c>
      <c r="AI108" s="238"/>
      <c r="AK108" s="240"/>
    </row>
    <row r="109" spans="1:37" x14ac:dyDescent="0.2">
      <c r="A109" s="514"/>
      <c r="B109" s="234" t="s">
        <v>228</v>
      </c>
      <c r="C109" s="235">
        <f t="shared" si="11"/>
        <v>47.71478075601533</v>
      </c>
      <c r="D109" s="235">
        <f t="shared" si="7"/>
        <v>0.79524634593358889</v>
      </c>
      <c r="E109" s="235">
        <f t="shared" si="19"/>
        <v>0.8520496563574177</v>
      </c>
      <c r="F109" s="236">
        <f t="shared" si="17"/>
        <v>1.6472960022910066</v>
      </c>
      <c r="G109" s="238"/>
      <c r="H109" s="514"/>
      <c r="I109" s="234" t="s">
        <v>228</v>
      </c>
      <c r="J109" s="235">
        <f t="shared" si="12"/>
        <v>432.67465000000084</v>
      </c>
      <c r="K109" s="235">
        <f t="shared" si="9"/>
        <v>7.2112441666666811</v>
      </c>
      <c r="L109" s="235">
        <f t="shared" si="10"/>
        <v>7.5907833333333334</v>
      </c>
      <c r="M109" s="236">
        <f t="shared" si="18"/>
        <v>14.802027500000015</v>
      </c>
      <c r="N109" s="238"/>
      <c r="O109" s="514"/>
      <c r="P109" s="234" t="s">
        <v>228</v>
      </c>
      <c r="Q109" s="235">
        <f t="shared" si="16"/>
        <v>530.70412500000145</v>
      </c>
      <c r="R109" s="235">
        <f t="shared" si="14"/>
        <v>8.8450687500000242</v>
      </c>
      <c r="S109" s="235">
        <f t="shared" si="15"/>
        <v>6.5519027777777783</v>
      </c>
      <c r="T109" s="236">
        <f t="shared" si="20"/>
        <v>15.396971527777803</v>
      </c>
      <c r="U109" s="238"/>
      <c r="V109" s="514"/>
      <c r="W109" s="234" t="s">
        <v>228</v>
      </c>
      <c r="X109" s="235"/>
      <c r="Y109" s="235"/>
      <c r="Z109" s="235"/>
      <c r="AA109" s="236">
        <f t="shared" si="21"/>
        <v>0</v>
      </c>
      <c r="AB109" s="238"/>
      <c r="AC109" s="514"/>
      <c r="AD109" s="234" t="s">
        <v>228</v>
      </c>
      <c r="AE109" s="235"/>
      <c r="AF109" s="235"/>
      <c r="AG109" s="235"/>
      <c r="AH109" s="236">
        <f t="shared" si="22"/>
        <v>0</v>
      </c>
      <c r="AI109" s="238"/>
      <c r="AK109" s="240"/>
    </row>
    <row r="110" spans="1:37" x14ac:dyDescent="0.2">
      <c r="A110" s="514"/>
      <c r="B110" s="234" t="s">
        <v>229</v>
      </c>
      <c r="C110" s="235">
        <f t="shared" si="11"/>
        <v>46.862731099657914</v>
      </c>
      <c r="D110" s="235">
        <f t="shared" ref="D110:D164" si="23">C110*$D$7/12</f>
        <v>0.78104551832763203</v>
      </c>
      <c r="E110" s="235">
        <f t="shared" si="19"/>
        <v>0.8520496563574177</v>
      </c>
      <c r="F110" s="236">
        <f t="shared" si="17"/>
        <v>1.6330951746850497</v>
      </c>
      <c r="G110" s="238"/>
      <c r="H110" s="514"/>
      <c r="I110" s="234" t="s">
        <v>229</v>
      </c>
      <c r="J110" s="235">
        <f t="shared" si="12"/>
        <v>425.08386666666752</v>
      </c>
      <c r="K110" s="235">
        <f t="shared" ref="K110:K165" si="24">J110*$D$7/12</f>
        <v>7.0847311111111253</v>
      </c>
      <c r="L110" s="235">
        <f t="shared" ref="L110:L165" si="25">$J$7/$K$8</f>
        <v>7.5907833333333334</v>
      </c>
      <c r="M110" s="236">
        <f t="shared" si="18"/>
        <v>14.67551444444446</v>
      </c>
      <c r="N110" s="238"/>
      <c r="O110" s="514"/>
      <c r="P110" s="234" t="s">
        <v>229</v>
      </c>
      <c r="Q110" s="235">
        <f t="shared" si="16"/>
        <v>524.15222222222371</v>
      </c>
      <c r="R110" s="235">
        <f t="shared" si="14"/>
        <v>8.7358703703703959</v>
      </c>
      <c r="S110" s="235">
        <f t="shared" si="15"/>
        <v>6.5519027777777783</v>
      </c>
      <c r="T110" s="236">
        <f t="shared" si="20"/>
        <v>15.287773148148174</v>
      </c>
      <c r="U110" s="238"/>
      <c r="V110" s="514"/>
      <c r="W110" s="234" t="s">
        <v>229</v>
      </c>
      <c r="X110" s="235"/>
      <c r="Y110" s="235"/>
      <c r="Z110" s="235"/>
      <c r="AA110" s="236">
        <f t="shared" si="21"/>
        <v>0</v>
      </c>
      <c r="AB110" s="238"/>
      <c r="AC110" s="514"/>
      <c r="AD110" s="234" t="s">
        <v>229</v>
      </c>
      <c r="AE110" s="235"/>
      <c r="AF110" s="235"/>
      <c r="AG110" s="235"/>
      <c r="AH110" s="236">
        <f t="shared" si="22"/>
        <v>0</v>
      </c>
      <c r="AI110" s="238"/>
      <c r="AK110" s="240"/>
    </row>
    <row r="111" spans="1:37" x14ac:dyDescent="0.2">
      <c r="A111" s="514"/>
      <c r="B111" s="234" t="s">
        <v>230</v>
      </c>
      <c r="C111" s="235">
        <f t="shared" ref="C111:C164" si="26">C110-E110</f>
        <v>46.010681443300498</v>
      </c>
      <c r="D111" s="235">
        <f t="shared" si="23"/>
        <v>0.76684469072167494</v>
      </c>
      <c r="E111" s="235">
        <f t="shared" si="19"/>
        <v>0.8520496563574177</v>
      </c>
      <c r="F111" s="236">
        <f t="shared" si="17"/>
        <v>1.6188943470790926</v>
      </c>
      <c r="G111" s="238"/>
      <c r="H111" s="514"/>
      <c r="I111" s="234" t="s">
        <v>230</v>
      </c>
      <c r="J111" s="235">
        <f t="shared" ref="J111:J165" si="27">J110-L110</f>
        <v>417.4930833333342</v>
      </c>
      <c r="K111" s="235">
        <f t="shared" si="24"/>
        <v>6.9582180555555704</v>
      </c>
      <c r="L111" s="235">
        <f t="shared" si="25"/>
        <v>7.5907833333333334</v>
      </c>
      <c r="M111" s="236">
        <f t="shared" si="18"/>
        <v>14.549001388888904</v>
      </c>
      <c r="N111" s="238"/>
      <c r="O111" s="514"/>
      <c r="P111" s="234" t="s">
        <v>230</v>
      </c>
      <c r="Q111" s="235">
        <f t="shared" si="16"/>
        <v>517.60031944444597</v>
      </c>
      <c r="R111" s="235">
        <f t="shared" si="14"/>
        <v>8.6266719907407658</v>
      </c>
      <c r="S111" s="235">
        <f t="shared" si="15"/>
        <v>6.5519027777777783</v>
      </c>
      <c r="T111" s="236">
        <f t="shared" si="20"/>
        <v>15.178574768518544</v>
      </c>
      <c r="U111" s="238"/>
      <c r="V111" s="514"/>
      <c r="W111" s="234" t="s">
        <v>230</v>
      </c>
      <c r="X111" s="235"/>
      <c r="Y111" s="235"/>
      <c r="Z111" s="235"/>
      <c r="AA111" s="236">
        <f t="shared" si="21"/>
        <v>0</v>
      </c>
      <c r="AB111" s="238"/>
      <c r="AC111" s="514"/>
      <c r="AD111" s="234" t="s">
        <v>230</v>
      </c>
      <c r="AE111" s="235"/>
      <c r="AF111" s="235"/>
      <c r="AG111" s="235"/>
      <c r="AH111" s="236">
        <f t="shared" si="22"/>
        <v>0</v>
      </c>
      <c r="AI111" s="238"/>
      <c r="AK111" s="240"/>
    </row>
    <row r="112" spans="1:37" x14ac:dyDescent="0.2">
      <c r="A112" s="514"/>
      <c r="B112" s="234" t="s">
        <v>231</v>
      </c>
      <c r="C112" s="235">
        <f t="shared" si="26"/>
        <v>45.158631786943083</v>
      </c>
      <c r="D112" s="235">
        <f t="shared" si="23"/>
        <v>0.75264386311571807</v>
      </c>
      <c r="E112" s="235">
        <f t="shared" si="19"/>
        <v>0.8520496563574177</v>
      </c>
      <c r="F112" s="236">
        <f t="shared" si="17"/>
        <v>1.6046935194731358</v>
      </c>
      <c r="G112" s="238"/>
      <c r="H112" s="514"/>
      <c r="I112" s="234" t="s">
        <v>231</v>
      </c>
      <c r="J112" s="235">
        <f t="shared" si="27"/>
        <v>409.90230000000088</v>
      </c>
      <c r="K112" s="235">
        <f t="shared" si="24"/>
        <v>6.8317050000000146</v>
      </c>
      <c r="L112" s="235">
        <f t="shared" si="25"/>
        <v>7.5907833333333334</v>
      </c>
      <c r="M112" s="236">
        <f t="shared" si="18"/>
        <v>14.422488333333348</v>
      </c>
      <c r="N112" s="238"/>
      <c r="O112" s="514"/>
      <c r="P112" s="234" t="s">
        <v>231</v>
      </c>
      <c r="Q112" s="235">
        <f t="shared" si="16"/>
        <v>511.04841666666817</v>
      </c>
      <c r="R112" s="235">
        <f t="shared" si="14"/>
        <v>8.5174736111111375</v>
      </c>
      <c r="S112" s="235">
        <f t="shared" si="15"/>
        <v>6.5519027777777783</v>
      </c>
      <c r="T112" s="236">
        <f t="shared" si="20"/>
        <v>15.069376388888916</v>
      </c>
      <c r="U112" s="238"/>
      <c r="V112" s="514"/>
      <c r="W112" s="234" t="s">
        <v>231</v>
      </c>
      <c r="X112" s="235"/>
      <c r="Y112" s="235"/>
      <c r="Z112" s="235"/>
      <c r="AA112" s="236">
        <f t="shared" si="21"/>
        <v>0</v>
      </c>
      <c r="AB112" s="238"/>
      <c r="AC112" s="514"/>
      <c r="AD112" s="234" t="s">
        <v>231</v>
      </c>
      <c r="AE112" s="235"/>
      <c r="AF112" s="235"/>
      <c r="AG112" s="235"/>
      <c r="AH112" s="236">
        <f t="shared" si="22"/>
        <v>0</v>
      </c>
      <c r="AI112" s="238"/>
      <c r="AK112" s="240"/>
    </row>
    <row r="113" spans="1:37" x14ac:dyDescent="0.2">
      <c r="A113" s="514"/>
      <c r="B113" s="234" t="s">
        <v>232</v>
      </c>
      <c r="C113" s="235">
        <f t="shared" si="26"/>
        <v>44.306582130585667</v>
      </c>
      <c r="D113" s="235">
        <f t="shared" si="23"/>
        <v>0.73844303550976109</v>
      </c>
      <c r="E113" s="235">
        <f t="shared" si="19"/>
        <v>0.8520496563574177</v>
      </c>
      <c r="F113" s="236">
        <f t="shared" si="17"/>
        <v>1.5904926918671789</v>
      </c>
      <c r="G113" s="238"/>
      <c r="H113" s="514"/>
      <c r="I113" s="234" t="s">
        <v>232</v>
      </c>
      <c r="J113" s="235">
        <f t="shared" si="27"/>
        <v>402.31151666666756</v>
      </c>
      <c r="K113" s="235">
        <f t="shared" si="24"/>
        <v>6.7051919444444605</v>
      </c>
      <c r="L113" s="235">
        <f t="shared" si="25"/>
        <v>7.5907833333333334</v>
      </c>
      <c r="M113" s="236">
        <f t="shared" si="18"/>
        <v>14.295975277777794</v>
      </c>
      <c r="N113" s="238"/>
      <c r="O113" s="514"/>
      <c r="P113" s="234" t="s">
        <v>232</v>
      </c>
      <c r="Q113" s="235">
        <f t="shared" si="16"/>
        <v>504.49651388889038</v>
      </c>
      <c r="R113" s="235">
        <f t="shared" si="14"/>
        <v>8.4082752314815057</v>
      </c>
      <c r="S113" s="235">
        <f t="shared" si="15"/>
        <v>6.5519027777777783</v>
      </c>
      <c r="T113" s="236">
        <f t="shared" si="20"/>
        <v>14.960178009259284</v>
      </c>
      <c r="U113" s="238"/>
      <c r="V113" s="514"/>
      <c r="W113" s="234" t="s">
        <v>232</v>
      </c>
      <c r="X113" s="235"/>
      <c r="Y113" s="235"/>
      <c r="Z113" s="235"/>
      <c r="AA113" s="236">
        <f t="shared" si="21"/>
        <v>0</v>
      </c>
      <c r="AB113" s="238"/>
      <c r="AC113" s="514"/>
      <c r="AD113" s="234" t="s">
        <v>232</v>
      </c>
      <c r="AE113" s="235"/>
      <c r="AF113" s="235"/>
      <c r="AG113" s="235"/>
      <c r="AH113" s="236">
        <f t="shared" si="22"/>
        <v>0</v>
      </c>
      <c r="AI113" s="238"/>
      <c r="AK113" s="240"/>
    </row>
    <row r="114" spans="1:37" x14ac:dyDescent="0.2">
      <c r="A114" s="514"/>
      <c r="B114" s="234" t="s">
        <v>233</v>
      </c>
      <c r="C114" s="235">
        <f t="shared" si="26"/>
        <v>43.454532474228252</v>
      </c>
      <c r="D114" s="235">
        <f t="shared" si="23"/>
        <v>0.72424220790380422</v>
      </c>
      <c r="E114" s="235">
        <f t="shared" si="19"/>
        <v>0.8520496563574177</v>
      </c>
      <c r="F114" s="236">
        <f t="shared" si="17"/>
        <v>1.576291864261222</v>
      </c>
      <c r="G114" s="238"/>
      <c r="H114" s="514"/>
      <c r="I114" s="234" t="s">
        <v>233</v>
      </c>
      <c r="J114" s="235">
        <f t="shared" si="27"/>
        <v>394.72073333333424</v>
      </c>
      <c r="K114" s="235">
        <f t="shared" si="24"/>
        <v>6.5786788888889047</v>
      </c>
      <c r="L114" s="235">
        <f t="shared" si="25"/>
        <v>7.5907833333333334</v>
      </c>
      <c r="M114" s="236">
        <f t="shared" si="18"/>
        <v>14.169462222222238</v>
      </c>
      <c r="N114" s="238"/>
      <c r="O114" s="514"/>
      <c r="P114" s="234" t="s">
        <v>233</v>
      </c>
      <c r="Q114" s="235">
        <f t="shared" si="16"/>
        <v>497.94461111111258</v>
      </c>
      <c r="R114" s="235">
        <f t="shared" si="14"/>
        <v>8.2990768518518774</v>
      </c>
      <c r="S114" s="235">
        <f t="shared" si="15"/>
        <v>6.5519027777777783</v>
      </c>
      <c r="T114" s="236">
        <f t="shared" si="20"/>
        <v>14.850979629629656</v>
      </c>
      <c r="U114" s="238"/>
      <c r="V114" s="514"/>
      <c r="W114" s="234" t="s">
        <v>233</v>
      </c>
      <c r="X114" s="235"/>
      <c r="Y114" s="235"/>
      <c r="Z114" s="235"/>
      <c r="AA114" s="236">
        <f t="shared" si="21"/>
        <v>0</v>
      </c>
      <c r="AB114" s="238"/>
      <c r="AC114" s="514"/>
      <c r="AD114" s="234" t="s">
        <v>233</v>
      </c>
      <c r="AE114" s="235"/>
      <c r="AF114" s="235"/>
      <c r="AG114" s="235"/>
      <c r="AH114" s="236">
        <f t="shared" si="22"/>
        <v>0</v>
      </c>
      <c r="AI114" s="238"/>
      <c r="AK114" s="240"/>
    </row>
    <row r="115" spans="1:37" x14ac:dyDescent="0.2">
      <c r="A115" s="514"/>
      <c r="B115" s="234" t="s">
        <v>234</v>
      </c>
      <c r="C115" s="235">
        <f t="shared" si="26"/>
        <v>42.602482817870836</v>
      </c>
      <c r="D115" s="235">
        <f t="shared" si="23"/>
        <v>0.71004138029784736</v>
      </c>
      <c r="E115" s="235">
        <f t="shared" si="19"/>
        <v>0.8520496563574177</v>
      </c>
      <c r="F115" s="236">
        <f t="shared" si="17"/>
        <v>1.5620910366552652</v>
      </c>
      <c r="G115" s="238"/>
      <c r="H115" s="514"/>
      <c r="I115" s="234" t="s">
        <v>234</v>
      </c>
      <c r="J115" s="235">
        <f t="shared" si="27"/>
        <v>387.12995000000092</v>
      </c>
      <c r="K115" s="235">
        <f t="shared" si="24"/>
        <v>6.4521658333333489</v>
      </c>
      <c r="L115" s="235">
        <f t="shared" si="25"/>
        <v>7.5907833333333334</v>
      </c>
      <c r="M115" s="236">
        <f t="shared" si="18"/>
        <v>14.042949166666682</v>
      </c>
      <c r="N115" s="238"/>
      <c r="O115" s="514"/>
      <c r="P115" s="234" t="s">
        <v>234</v>
      </c>
      <c r="Q115" s="235">
        <f t="shared" si="16"/>
        <v>491.39270833333478</v>
      </c>
      <c r="R115" s="235">
        <f t="shared" si="14"/>
        <v>8.1898784722222473</v>
      </c>
      <c r="S115" s="235">
        <f t="shared" si="15"/>
        <v>6.5519027777777783</v>
      </c>
      <c r="T115" s="236">
        <f t="shared" si="20"/>
        <v>14.741781250000026</v>
      </c>
      <c r="U115" s="238"/>
      <c r="V115" s="514"/>
      <c r="W115" s="234" t="s">
        <v>234</v>
      </c>
      <c r="X115" s="235"/>
      <c r="Y115" s="235"/>
      <c r="Z115" s="235"/>
      <c r="AA115" s="236">
        <f t="shared" si="21"/>
        <v>0</v>
      </c>
      <c r="AB115" s="238"/>
      <c r="AC115" s="514"/>
      <c r="AD115" s="234" t="s">
        <v>234</v>
      </c>
      <c r="AE115" s="235"/>
      <c r="AF115" s="235"/>
      <c r="AG115" s="235"/>
      <c r="AH115" s="236">
        <f t="shared" si="22"/>
        <v>0</v>
      </c>
      <c r="AI115" s="238"/>
      <c r="AK115" s="240"/>
    </row>
    <row r="116" spans="1:37" x14ac:dyDescent="0.2">
      <c r="A116" s="514"/>
      <c r="B116" s="234" t="s">
        <v>235</v>
      </c>
      <c r="C116" s="235">
        <f t="shared" si="26"/>
        <v>41.750433161513421</v>
      </c>
      <c r="D116" s="235">
        <f t="shared" si="23"/>
        <v>0.69584055269189038</v>
      </c>
      <c r="E116" s="235">
        <f t="shared" si="19"/>
        <v>0.8520496563574177</v>
      </c>
      <c r="F116" s="236">
        <f t="shared" si="17"/>
        <v>1.5478902090493081</v>
      </c>
      <c r="G116" s="238"/>
      <c r="H116" s="514"/>
      <c r="I116" s="234" t="s">
        <v>235</v>
      </c>
      <c r="J116" s="235">
        <f t="shared" si="27"/>
        <v>379.5391666666676</v>
      </c>
      <c r="K116" s="235">
        <f t="shared" si="24"/>
        <v>6.325652777777794</v>
      </c>
      <c r="L116" s="235">
        <f t="shared" si="25"/>
        <v>7.5907833333333334</v>
      </c>
      <c r="M116" s="236">
        <f t="shared" si="18"/>
        <v>13.916436111111128</v>
      </c>
      <c r="N116" s="238"/>
      <c r="O116" s="514"/>
      <c r="P116" s="234" t="s">
        <v>235</v>
      </c>
      <c r="Q116" s="235">
        <f t="shared" si="16"/>
        <v>484.84080555555698</v>
      </c>
      <c r="R116" s="235">
        <f t="shared" si="14"/>
        <v>8.0806800925926172</v>
      </c>
      <c r="S116" s="235">
        <f t="shared" si="15"/>
        <v>6.5519027777777783</v>
      </c>
      <c r="T116" s="236">
        <f t="shared" si="20"/>
        <v>14.632582870370396</v>
      </c>
      <c r="U116" s="238"/>
      <c r="V116" s="514"/>
      <c r="W116" s="234" t="s">
        <v>235</v>
      </c>
      <c r="X116" s="235"/>
      <c r="Y116" s="235"/>
      <c r="Z116" s="235"/>
      <c r="AA116" s="236">
        <f t="shared" si="21"/>
        <v>0</v>
      </c>
      <c r="AB116" s="238"/>
      <c r="AC116" s="514"/>
      <c r="AD116" s="234" t="s">
        <v>235</v>
      </c>
      <c r="AE116" s="235"/>
      <c r="AF116" s="235"/>
      <c r="AG116" s="235"/>
      <c r="AH116" s="236">
        <f t="shared" si="22"/>
        <v>0</v>
      </c>
      <c r="AI116" s="238"/>
      <c r="AK116" s="240"/>
    </row>
    <row r="117" spans="1:37" x14ac:dyDescent="0.2">
      <c r="A117" s="515"/>
      <c r="B117" s="234" t="s">
        <v>236</v>
      </c>
      <c r="C117" s="235">
        <f t="shared" si="26"/>
        <v>40.898383505156005</v>
      </c>
      <c r="D117" s="235">
        <f t="shared" si="23"/>
        <v>0.68163972508593351</v>
      </c>
      <c r="E117" s="235">
        <f t="shared" si="19"/>
        <v>0.8520496563574177</v>
      </c>
      <c r="F117" s="236">
        <f t="shared" si="17"/>
        <v>1.5336893814433512</v>
      </c>
      <c r="G117" s="239">
        <f>SUM(D106:D117)</f>
        <v>9.1169313230243603</v>
      </c>
      <c r="H117" s="515"/>
      <c r="I117" s="234" t="s">
        <v>236</v>
      </c>
      <c r="J117" s="235">
        <f t="shared" si="27"/>
        <v>371.94838333333428</v>
      </c>
      <c r="K117" s="235">
        <f t="shared" si="24"/>
        <v>6.1991397222222382</v>
      </c>
      <c r="L117" s="235">
        <f t="shared" si="25"/>
        <v>7.5907833333333334</v>
      </c>
      <c r="M117" s="236">
        <f t="shared" si="18"/>
        <v>13.789923055555573</v>
      </c>
      <c r="N117" s="239">
        <f>SUM(K106:K117)</f>
        <v>82.739538333333513</v>
      </c>
      <c r="O117" s="515"/>
      <c r="P117" s="234" t="s">
        <v>236</v>
      </c>
      <c r="Q117" s="235">
        <f t="shared" si="16"/>
        <v>478.28890277777919</v>
      </c>
      <c r="R117" s="235">
        <f t="shared" si="14"/>
        <v>7.9714817129629871</v>
      </c>
      <c r="S117" s="235">
        <f t="shared" si="15"/>
        <v>6.5519027777777783</v>
      </c>
      <c r="T117" s="236">
        <f t="shared" si="20"/>
        <v>14.523384490740765</v>
      </c>
      <c r="U117" s="239">
        <f>SUM(R106:R117)</f>
        <v>102.86487361111141</v>
      </c>
      <c r="V117" s="515"/>
      <c r="W117" s="234" t="s">
        <v>236</v>
      </c>
      <c r="X117" s="235"/>
      <c r="Y117" s="235"/>
      <c r="Z117" s="235"/>
      <c r="AA117" s="236">
        <f t="shared" si="21"/>
        <v>0</v>
      </c>
      <c r="AB117" s="239">
        <f>SUM(Y106:Y117)</f>
        <v>0</v>
      </c>
      <c r="AC117" s="515"/>
      <c r="AD117" s="234" t="s">
        <v>236</v>
      </c>
      <c r="AE117" s="235"/>
      <c r="AF117" s="235"/>
      <c r="AG117" s="235"/>
      <c r="AH117" s="236">
        <f t="shared" si="22"/>
        <v>0</v>
      </c>
      <c r="AI117" s="239">
        <f>SUM(AF106:AF117)</f>
        <v>0</v>
      </c>
      <c r="AJ117" s="208">
        <f>AJ105+1</f>
        <v>2030</v>
      </c>
      <c r="AK117" s="240">
        <f>G117+N117+U117+AB117+AI117</f>
        <v>194.72134326746928</v>
      </c>
    </row>
    <row r="118" spans="1:37" x14ac:dyDescent="0.2">
      <c r="A118" s="513">
        <f>A106+1</f>
        <v>2031</v>
      </c>
      <c r="B118" s="234" t="s">
        <v>225</v>
      </c>
      <c r="C118" s="235">
        <f t="shared" si="26"/>
        <v>40.046333848798589</v>
      </c>
      <c r="D118" s="235">
        <f t="shared" si="23"/>
        <v>0.66743889747997642</v>
      </c>
      <c r="E118" s="235">
        <f t="shared" si="19"/>
        <v>0.8520496563574177</v>
      </c>
      <c r="F118" s="236">
        <f t="shared" si="17"/>
        <v>1.5194885538373941</v>
      </c>
      <c r="G118" s="237"/>
      <c r="H118" s="513">
        <f>H106+1</f>
        <v>2031</v>
      </c>
      <c r="I118" s="234" t="s">
        <v>225</v>
      </c>
      <c r="J118" s="235">
        <f t="shared" si="27"/>
        <v>364.35760000000096</v>
      </c>
      <c r="K118" s="235">
        <f t="shared" si="24"/>
        <v>6.0726266666666824</v>
      </c>
      <c r="L118" s="235">
        <f t="shared" si="25"/>
        <v>7.5907833333333334</v>
      </c>
      <c r="M118" s="236">
        <f t="shared" si="18"/>
        <v>13.663410000000017</v>
      </c>
      <c r="N118" s="237"/>
      <c r="O118" s="513">
        <f>O106+1</f>
        <v>2031</v>
      </c>
      <c r="P118" s="234" t="s">
        <v>225</v>
      </c>
      <c r="Q118" s="235">
        <f t="shared" si="16"/>
        <v>471.73700000000139</v>
      </c>
      <c r="R118" s="235">
        <f t="shared" si="14"/>
        <v>7.8622833333333562</v>
      </c>
      <c r="S118" s="235">
        <f t="shared" si="15"/>
        <v>6.5519027777777783</v>
      </c>
      <c r="T118" s="236">
        <f t="shared" si="20"/>
        <v>14.414186111111135</v>
      </c>
      <c r="U118" s="237"/>
      <c r="V118" s="513">
        <f>V106+1</f>
        <v>2030</v>
      </c>
      <c r="W118" s="234" t="s">
        <v>225</v>
      </c>
      <c r="X118" s="235"/>
      <c r="Y118" s="235"/>
      <c r="Z118" s="235"/>
      <c r="AA118" s="236">
        <f t="shared" si="21"/>
        <v>0</v>
      </c>
      <c r="AB118" s="237"/>
      <c r="AC118" s="513">
        <f>AC106+1</f>
        <v>2030</v>
      </c>
      <c r="AD118" s="234" t="s">
        <v>225</v>
      </c>
      <c r="AE118" s="235"/>
      <c r="AF118" s="235"/>
      <c r="AG118" s="235"/>
      <c r="AH118" s="236">
        <f t="shared" si="22"/>
        <v>0</v>
      </c>
      <c r="AI118" s="237"/>
      <c r="AK118" s="240"/>
    </row>
    <row r="119" spans="1:37" x14ac:dyDescent="0.2">
      <c r="A119" s="514"/>
      <c r="B119" s="234" t="s">
        <v>226</v>
      </c>
      <c r="C119" s="235">
        <f t="shared" si="26"/>
        <v>39.194284192441174</v>
      </c>
      <c r="D119" s="235">
        <f t="shared" si="23"/>
        <v>0.65323806987401956</v>
      </c>
      <c r="E119" s="235">
        <f t="shared" si="19"/>
        <v>0.8520496563574177</v>
      </c>
      <c r="F119" s="236">
        <f t="shared" si="17"/>
        <v>1.5052877262314373</v>
      </c>
      <c r="G119" s="238"/>
      <c r="H119" s="514"/>
      <c r="I119" s="234" t="s">
        <v>226</v>
      </c>
      <c r="J119" s="235">
        <f t="shared" si="27"/>
        <v>356.76681666666764</v>
      </c>
      <c r="K119" s="235">
        <f t="shared" si="24"/>
        <v>5.9461136111111275</v>
      </c>
      <c r="L119" s="235">
        <f t="shared" si="25"/>
        <v>7.5907833333333334</v>
      </c>
      <c r="M119" s="236">
        <f t="shared" si="18"/>
        <v>13.536896944444461</v>
      </c>
      <c r="N119" s="238"/>
      <c r="O119" s="514"/>
      <c r="P119" s="234" t="s">
        <v>226</v>
      </c>
      <c r="Q119" s="235">
        <f t="shared" si="16"/>
        <v>465.18509722222359</v>
      </c>
      <c r="R119" s="235">
        <f t="shared" si="14"/>
        <v>7.753084953703727</v>
      </c>
      <c r="S119" s="235">
        <f t="shared" si="15"/>
        <v>6.5519027777777783</v>
      </c>
      <c r="T119" s="236">
        <f t="shared" si="20"/>
        <v>14.304987731481505</v>
      </c>
      <c r="U119" s="238"/>
      <c r="V119" s="514"/>
      <c r="W119" s="234" t="s">
        <v>226</v>
      </c>
      <c r="X119" s="235"/>
      <c r="Y119" s="235"/>
      <c r="Z119" s="235"/>
      <c r="AA119" s="236">
        <f t="shared" si="21"/>
        <v>0</v>
      </c>
      <c r="AB119" s="238"/>
      <c r="AC119" s="514"/>
      <c r="AD119" s="234" t="s">
        <v>226</v>
      </c>
      <c r="AE119" s="235"/>
      <c r="AF119" s="235"/>
      <c r="AG119" s="235"/>
      <c r="AH119" s="236">
        <f t="shared" si="22"/>
        <v>0</v>
      </c>
      <c r="AI119" s="238"/>
      <c r="AK119" s="240"/>
    </row>
    <row r="120" spans="1:37" x14ac:dyDescent="0.2">
      <c r="A120" s="514"/>
      <c r="B120" s="234" t="s">
        <v>227</v>
      </c>
      <c r="C120" s="235">
        <f t="shared" si="26"/>
        <v>38.342234536083758</v>
      </c>
      <c r="D120" s="235">
        <f t="shared" si="23"/>
        <v>0.63903724226806269</v>
      </c>
      <c r="E120" s="235">
        <f t="shared" si="19"/>
        <v>0.8520496563574177</v>
      </c>
      <c r="F120" s="236">
        <f t="shared" si="17"/>
        <v>1.4910868986254804</v>
      </c>
      <c r="G120" s="238"/>
      <c r="H120" s="514"/>
      <c r="I120" s="234" t="s">
        <v>227</v>
      </c>
      <c r="J120" s="235">
        <f t="shared" si="27"/>
        <v>349.17603333333432</v>
      </c>
      <c r="K120" s="235">
        <f t="shared" si="24"/>
        <v>5.8196005555555717</v>
      </c>
      <c r="L120" s="235">
        <f t="shared" si="25"/>
        <v>7.5907833333333334</v>
      </c>
      <c r="M120" s="236">
        <f t="shared" si="18"/>
        <v>13.410383888888905</v>
      </c>
      <c r="N120" s="238"/>
      <c r="O120" s="514"/>
      <c r="P120" s="234" t="s">
        <v>227</v>
      </c>
      <c r="Q120" s="235">
        <f t="shared" si="16"/>
        <v>458.63319444444579</v>
      </c>
      <c r="R120" s="235">
        <f t="shared" si="14"/>
        <v>7.6438865740740978</v>
      </c>
      <c r="S120" s="235">
        <f t="shared" si="15"/>
        <v>6.5519027777777783</v>
      </c>
      <c r="T120" s="236">
        <f t="shared" si="20"/>
        <v>14.195789351851875</v>
      </c>
      <c r="U120" s="238"/>
      <c r="V120" s="514"/>
      <c r="W120" s="234" t="s">
        <v>227</v>
      </c>
      <c r="X120" s="235"/>
      <c r="Y120" s="235"/>
      <c r="Z120" s="235"/>
      <c r="AA120" s="236">
        <f t="shared" si="21"/>
        <v>0</v>
      </c>
      <c r="AB120" s="238"/>
      <c r="AC120" s="514"/>
      <c r="AD120" s="234" t="s">
        <v>227</v>
      </c>
      <c r="AE120" s="235"/>
      <c r="AF120" s="235"/>
      <c r="AG120" s="235"/>
      <c r="AH120" s="236">
        <f t="shared" si="22"/>
        <v>0</v>
      </c>
      <c r="AI120" s="238"/>
      <c r="AK120" s="240"/>
    </row>
    <row r="121" spans="1:37" x14ac:dyDescent="0.2">
      <c r="A121" s="514"/>
      <c r="B121" s="234" t="s">
        <v>228</v>
      </c>
      <c r="C121" s="235">
        <f t="shared" si="26"/>
        <v>37.490184879726343</v>
      </c>
      <c r="D121" s="235">
        <f t="shared" si="23"/>
        <v>0.62483641466210571</v>
      </c>
      <c r="E121" s="235">
        <f t="shared" si="19"/>
        <v>0.8520496563574177</v>
      </c>
      <c r="F121" s="236">
        <f t="shared" si="17"/>
        <v>1.4768860710195235</v>
      </c>
      <c r="G121" s="238"/>
      <c r="H121" s="514"/>
      <c r="I121" s="234" t="s">
        <v>228</v>
      </c>
      <c r="J121" s="235">
        <f t="shared" si="27"/>
        <v>341.585250000001</v>
      </c>
      <c r="K121" s="235">
        <f t="shared" si="24"/>
        <v>5.6930875000000176</v>
      </c>
      <c r="L121" s="235">
        <f t="shared" si="25"/>
        <v>7.5907833333333334</v>
      </c>
      <c r="M121" s="236">
        <f t="shared" si="18"/>
        <v>13.283870833333351</v>
      </c>
      <c r="N121" s="238"/>
      <c r="O121" s="514"/>
      <c r="P121" s="234" t="s">
        <v>228</v>
      </c>
      <c r="Q121" s="235">
        <f t="shared" si="16"/>
        <v>452.08129166666799</v>
      </c>
      <c r="R121" s="235">
        <f t="shared" si="14"/>
        <v>7.5346881944444668</v>
      </c>
      <c r="S121" s="235">
        <f t="shared" si="15"/>
        <v>6.5519027777777783</v>
      </c>
      <c r="T121" s="236">
        <f t="shared" si="20"/>
        <v>14.086590972222245</v>
      </c>
      <c r="U121" s="238"/>
      <c r="V121" s="514"/>
      <c r="W121" s="234" t="s">
        <v>228</v>
      </c>
      <c r="X121" s="235"/>
      <c r="Y121" s="235"/>
      <c r="Z121" s="235"/>
      <c r="AA121" s="236">
        <f t="shared" si="21"/>
        <v>0</v>
      </c>
      <c r="AB121" s="238"/>
      <c r="AC121" s="514"/>
      <c r="AD121" s="234" t="s">
        <v>228</v>
      </c>
      <c r="AE121" s="235"/>
      <c r="AF121" s="235"/>
      <c r="AG121" s="235"/>
      <c r="AH121" s="236">
        <f t="shared" si="22"/>
        <v>0</v>
      </c>
      <c r="AI121" s="238"/>
      <c r="AK121" s="240"/>
    </row>
    <row r="122" spans="1:37" x14ac:dyDescent="0.2">
      <c r="A122" s="514"/>
      <c r="B122" s="234" t="s">
        <v>229</v>
      </c>
      <c r="C122" s="235">
        <f t="shared" si="26"/>
        <v>36.638135223368927</v>
      </c>
      <c r="D122" s="235">
        <f t="shared" si="23"/>
        <v>0.61063558705614884</v>
      </c>
      <c r="E122" s="235">
        <f t="shared" si="19"/>
        <v>0.8520496563574177</v>
      </c>
      <c r="F122" s="236">
        <f t="shared" si="17"/>
        <v>1.4626852434135666</v>
      </c>
      <c r="G122" s="238"/>
      <c r="H122" s="514"/>
      <c r="I122" s="234" t="s">
        <v>229</v>
      </c>
      <c r="J122" s="235">
        <f t="shared" si="27"/>
        <v>333.99446666666768</v>
      </c>
      <c r="K122" s="235">
        <f t="shared" si="24"/>
        <v>5.5665744444444618</v>
      </c>
      <c r="L122" s="235">
        <f t="shared" si="25"/>
        <v>7.5907833333333334</v>
      </c>
      <c r="M122" s="236">
        <f t="shared" si="18"/>
        <v>13.157357777777795</v>
      </c>
      <c r="N122" s="238"/>
      <c r="O122" s="514"/>
      <c r="P122" s="234" t="s">
        <v>229</v>
      </c>
      <c r="Q122" s="235">
        <f t="shared" si="16"/>
        <v>445.5293888888902</v>
      </c>
      <c r="R122" s="235">
        <f t="shared" si="14"/>
        <v>7.4254898148148376</v>
      </c>
      <c r="S122" s="235">
        <f t="shared" si="15"/>
        <v>6.5519027777777783</v>
      </c>
      <c r="T122" s="236">
        <f t="shared" si="20"/>
        <v>13.977392592592615</v>
      </c>
      <c r="U122" s="238"/>
      <c r="V122" s="514"/>
      <c r="W122" s="234" t="s">
        <v>229</v>
      </c>
      <c r="X122" s="235"/>
      <c r="Y122" s="235"/>
      <c r="Z122" s="235"/>
      <c r="AA122" s="236">
        <f t="shared" si="21"/>
        <v>0</v>
      </c>
      <c r="AB122" s="238"/>
      <c r="AC122" s="514"/>
      <c r="AD122" s="234" t="s">
        <v>229</v>
      </c>
      <c r="AE122" s="235"/>
      <c r="AF122" s="235"/>
      <c r="AG122" s="235"/>
      <c r="AH122" s="236">
        <f t="shared" si="22"/>
        <v>0</v>
      </c>
      <c r="AI122" s="238"/>
      <c r="AK122" s="240"/>
    </row>
    <row r="123" spans="1:37" x14ac:dyDescent="0.2">
      <c r="A123" s="514"/>
      <c r="B123" s="234" t="s">
        <v>230</v>
      </c>
      <c r="C123" s="235">
        <f t="shared" si="26"/>
        <v>35.786085567011511</v>
      </c>
      <c r="D123" s="235">
        <f t="shared" si="23"/>
        <v>0.59643475945019186</v>
      </c>
      <c r="E123" s="235">
        <f t="shared" si="19"/>
        <v>0.8520496563574177</v>
      </c>
      <c r="F123" s="236">
        <f t="shared" si="17"/>
        <v>1.4484844158076096</v>
      </c>
      <c r="G123" s="238"/>
      <c r="H123" s="514"/>
      <c r="I123" s="234" t="s">
        <v>230</v>
      </c>
      <c r="J123" s="235">
        <f t="shared" si="27"/>
        <v>326.40368333333436</v>
      </c>
      <c r="K123" s="235">
        <f t="shared" si="24"/>
        <v>5.440061388888906</v>
      </c>
      <c r="L123" s="235">
        <f t="shared" si="25"/>
        <v>7.5907833333333334</v>
      </c>
      <c r="M123" s="236">
        <f t="shared" si="18"/>
        <v>13.030844722222239</v>
      </c>
      <c r="N123" s="238"/>
      <c r="O123" s="514"/>
      <c r="P123" s="234" t="s">
        <v>230</v>
      </c>
      <c r="Q123" s="235">
        <f t="shared" si="16"/>
        <v>438.9774861111124</v>
      </c>
      <c r="R123" s="235">
        <f t="shared" si="14"/>
        <v>7.3162914351852066</v>
      </c>
      <c r="S123" s="235">
        <f t="shared" si="15"/>
        <v>6.5519027777777783</v>
      </c>
      <c r="T123" s="236">
        <f t="shared" si="20"/>
        <v>13.868194212962985</v>
      </c>
      <c r="U123" s="238"/>
      <c r="V123" s="514"/>
      <c r="W123" s="234" t="s">
        <v>230</v>
      </c>
      <c r="X123" s="235"/>
      <c r="Y123" s="235"/>
      <c r="Z123" s="235"/>
      <c r="AA123" s="236">
        <f t="shared" si="21"/>
        <v>0</v>
      </c>
      <c r="AB123" s="238"/>
      <c r="AC123" s="514"/>
      <c r="AD123" s="234" t="s">
        <v>230</v>
      </c>
      <c r="AE123" s="235"/>
      <c r="AF123" s="235"/>
      <c r="AG123" s="235"/>
      <c r="AH123" s="236">
        <f t="shared" si="22"/>
        <v>0</v>
      </c>
      <c r="AI123" s="238"/>
      <c r="AK123" s="240"/>
    </row>
    <row r="124" spans="1:37" x14ac:dyDescent="0.2">
      <c r="A124" s="514"/>
      <c r="B124" s="234" t="s">
        <v>231</v>
      </c>
      <c r="C124" s="235">
        <f t="shared" si="26"/>
        <v>34.934035910654096</v>
      </c>
      <c r="D124" s="235">
        <f t="shared" si="23"/>
        <v>0.582233931844235</v>
      </c>
      <c r="E124" s="235">
        <f t="shared" si="19"/>
        <v>0.8520496563574177</v>
      </c>
      <c r="F124" s="236">
        <f t="shared" si="17"/>
        <v>1.4342835882016527</v>
      </c>
      <c r="G124" s="238"/>
      <c r="H124" s="514"/>
      <c r="I124" s="234" t="s">
        <v>231</v>
      </c>
      <c r="J124" s="235">
        <f t="shared" si="27"/>
        <v>318.81290000000104</v>
      </c>
      <c r="K124" s="235">
        <f t="shared" si="24"/>
        <v>5.3135483333333511</v>
      </c>
      <c r="L124" s="235">
        <f t="shared" si="25"/>
        <v>7.5907833333333334</v>
      </c>
      <c r="M124" s="236">
        <f t="shared" si="18"/>
        <v>12.904331666666685</v>
      </c>
      <c r="N124" s="238"/>
      <c r="O124" s="514"/>
      <c r="P124" s="234" t="s">
        <v>231</v>
      </c>
      <c r="Q124" s="235">
        <f t="shared" si="16"/>
        <v>432.4255833333346</v>
      </c>
      <c r="R124" s="235">
        <f t="shared" si="14"/>
        <v>7.2070930555555774</v>
      </c>
      <c r="S124" s="235">
        <f t="shared" si="15"/>
        <v>6.5519027777777783</v>
      </c>
      <c r="T124" s="236">
        <f t="shared" si="20"/>
        <v>13.758995833333355</v>
      </c>
      <c r="U124" s="238"/>
      <c r="V124" s="514"/>
      <c r="W124" s="234" t="s">
        <v>231</v>
      </c>
      <c r="X124" s="235"/>
      <c r="Y124" s="235"/>
      <c r="Z124" s="235"/>
      <c r="AA124" s="236">
        <f t="shared" si="21"/>
        <v>0</v>
      </c>
      <c r="AB124" s="238"/>
      <c r="AC124" s="514"/>
      <c r="AD124" s="234" t="s">
        <v>231</v>
      </c>
      <c r="AE124" s="235"/>
      <c r="AF124" s="235"/>
      <c r="AG124" s="235"/>
      <c r="AH124" s="236">
        <f t="shared" si="22"/>
        <v>0</v>
      </c>
      <c r="AI124" s="238"/>
      <c r="AK124" s="240"/>
    </row>
    <row r="125" spans="1:37" x14ac:dyDescent="0.2">
      <c r="A125" s="514"/>
      <c r="B125" s="234" t="s">
        <v>232</v>
      </c>
      <c r="C125" s="235">
        <f t="shared" si="26"/>
        <v>34.08198625429668</v>
      </c>
      <c r="D125" s="235">
        <f t="shared" si="23"/>
        <v>0.56803310423827802</v>
      </c>
      <c r="E125" s="235">
        <f t="shared" si="19"/>
        <v>0.8520496563574177</v>
      </c>
      <c r="F125" s="236">
        <f t="shared" si="17"/>
        <v>1.4200827605956956</v>
      </c>
      <c r="G125" s="238"/>
      <c r="H125" s="514"/>
      <c r="I125" s="234" t="s">
        <v>232</v>
      </c>
      <c r="J125" s="235">
        <f t="shared" si="27"/>
        <v>311.22211666666772</v>
      </c>
      <c r="K125" s="235">
        <f t="shared" si="24"/>
        <v>5.1870352777777953</v>
      </c>
      <c r="L125" s="235">
        <f t="shared" si="25"/>
        <v>7.5907833333333334</v>
      </c>
      <c r="M125" s="236">
        <f t="shared" si="18"/>
        <v>12.77781861111113</v>
      </c>
      <c r="N125" s="238"/>
      <c r="O125" s="514"/>
      <c r="P125" s="234" t="s">
        <v>232</v>
      </c>
      <c r="Q125" s="235">
        <f t="shared" si="16"/>
        <v>425.8736805555568</v>
      </c>
      <c r="R125" s="235">
        <f t="shared" si="14"/>
        <v>7.0978946759259474</v>
      </c>
      <c r="S125" s="235">
        <f t="shared" si="15"/>
        <v>6.5519027777777783</v>
      </c>
      <c r="T125" s="236">
        <f t="shared" si="20"/>
        <v>13.649797453703727</v>
      </c>
      <c r="U125" s="238"/>
      <c r="V125" s="514"/>
      <c r="W125" s="234" t="s">
        <v>232</v>
      </c>
      <c r="X125" s="235"/>
      <c r="Y125" s="235"/>
      <c r="Z125" s="235"/>
      <c r="AA125" s="236">
        <f t="shared" si="21"/>
        <v>0</v>
      </c>
      <c r="AB125" s="238"/>
      <c r="AC125" s="514"/>
      <c r="AD125" s="234" t="s">
        <v>232</v>
      </c>
      <c r="AE125" s="235"/>
      <c r="AF125" s="235"/>
      <c r="AG125" s="235"/>
      <c r="AH125" s="236">
        <f t="shared" si="22"/>
        <v>0</v>
      </c>
      <c r="AI125" s="238"/>
      <c r="AK125" s="240"/>
    </row>
    <row r="126" spans="1:37" x14ac:dyDescent="0.2">
      <c r="A126" s="514"/>
      <c r="B126" s="234" t="s">
        <v>233</v>
      </c>
      <c r="C126" s="235">
        <f t="shared" si="26"/>
        <v>33.229936597939265</v>
      </c>
      <c r="D126" s="235">
        <f t="shared" si="23"/>
        <v>0.55383227663232104</v>
      </c>
      <c r="E126" s="235">
        <f t="shared" si="19"/>
        <v>0.8520496563574177</v>
      </c>
      <c r="F126" s="236">
        <f t="shared" si="17"/>
        <v>1.4058819329897387</v>
      </c>
      <c r="G126" s="238"/>
      <c r="H126" s="514"/>
      <c r="I126" s="234" t="s">
        <v>233</v>
      </c>
      <c r="J126" s="235">
        <f t="shared" si="27"/>
        <v>303.6313333333344</v>
      </c>
      <c r="K126" s="235">
        <f t="shared" si="24"/>
        <v>5.0605222222222404</v>
      </c>
      <c r="L126" s="235">
        <f t="shared" si="25"/>
        <v>7.5907833333333334</v>
      </c>
      <c r="M126" s="236">
        <f t="shared" si="18"/>
        <v>12.651305555555574</v>
      </c>
      <c r="N126" s="238"/>
      <c r="O126" s="514"/>
      <c r="P126" s="234" t="s">
        <v>233</v>
      </c>
      <c r="Q126" s="235">
        <f t="shared" si="16"/>
        <v>419.321777777779</v>
      </c>
      <c r="R126" s="235">
        <f t="shared" si="14"/>
        <v>6.9886962962963173</v>
      </c>
      <c r="S126" s="235">
        <f t="shared" si="15"/>
        <v>6.5519027777777783</v>
      </c>
      <c r="T126" s="236">
        <f t="shared" si="20"/>
        <v>13.540599074074095</v>
      </c>
      <c r="U126" s="238"/>
      <c r="V126" s="514"/>
      <c r="W126" s="234" t="s">
        <v>233</v>
      </c>
      <c r="X126" s="235"/>
      <c r="Y126" s="235"/>
      <c r="Z126" s="235"/>
      <c r="AA126" s="236">
        <f t="shared" si="21"/>
        <v>0</v>
      </c>
      <c r="AB126" s="238"/>
      <c r="AC126" s="514"/>
      <c r="AD126" s="234" t="s">
        <v>233</v>
      </c>
      <c r="AE126" s="235"/>
      <c r="AF126" s="235"/>
      <c r="AG126" s="235"/>
      <c r="AH126" s="236">
        <f t="shared" si="22"/>
        <v>0</v>
      </c>
      <c r="AI126" s="238"/>
      <c r="AK126" s="240"/>
    </row>
    <row r="127" spans="1:37" x14ac:dyDescent="0.2">
      <c r="A127" s="514"/>
      <c r="B127" s="234" t="s">
        <v>234</v>
      </c>
      <c r="C127" s="235">
        <f t="shared" si="26"/>
        <v>32.377886941581849</v>
      </c>
      <c r="D127" s="235">
        <f t="shared" si="23"/>
        <v>0.53963144902636417</v>
      </c>
      <c r="E127" s="235">
        <f t="shared" si="19"/>
        <v>0.8520496563574177</v>
      </c>
      <c r="F127" s="236">
        <f t="shared" si="17"/>
        <v>1.3916811053837819</v>
      </c>
      <c r="G127" s="238"/>
      <c r="H127" s="514"/>
      <c r="I127" s="234" t="s">
        <v>234</v>
      </c>
      <c r="J127" s="235">
        <f t="shared" si="27"/>
        <v>296.04055000000108</v>
      </c>
      <c r="K127" s="235">
        <f t="shared" si="24"/>
        <v>4.9340091666666845</v>
      </c>
      <c r="L127" s="235">
        <f t="shared" si="25"/>
        <v>7.5907833333333334</v>
      </c>
      <c r="M127" s="236">
        <f t="shared" si="18"/>
        <v>12.524792500000018</v>
      </c>
      <c r="N127" s="238"/>
      <c r="O127" s="514"/>
      <c r="P127" s="234" t="s">
        <v>234</v>
      </c>
      <c r="Q127" s="235">
        <f t="shared" si="16"/>
        <v>412.76987500000121</v>
      </c>
      <c r="R127" s="235">
        <f t="shared" si="14"/>
        <v>6.8794979166666872</v>
      </c>
      <c r="S127" s="235">
        <f t="shared" si="15"/>
        <v>6.5519027777777783</v>
      </c>
      <c r="T127" s="236">
        <f t="shared" si="20"/>
        <v>13.431400694444466</v>
      </c>
      <c r="U127" s="238"/>
      <c r="V127" s="514"/>
      <c r="W127" s="234" t="s">
        <v>234</v>
      </c>
      <c r="X127" s="235"/>
      <c r="Y127" s="235"/>
      <c r="Z127" s="235"/>
      <c r="AA127" s="236">
        <f t="shared" si="21"/>
        <v>0</v>
      </c>
      <c r="AB127" s="238"/>
      <c r="AC127" s="514"/>
      <c r="AD127" s="234" t="s">
        <v>234</v>
      </c>
      <c r="AE127" s="235"/>
      <c r="AF127" s="235"/>
      <c r="AG127" s="235"/>
      <c r="AH127" s="236">
        <f t="shared" si="22"/>
        <v>0</v>
      </c>
      <c r="AI127" s="238"/>
      <c r="AK127" s="240"/>
    </row>
    <row r="128" spans="1:37" x14ac:dyDescent="0.2">
      <c r="A128" s="514"/>
      <c r="B128" s="234" t="s">
        <v>235</v>
      </c>
      <c r="C128" s="235">
        <f t="shared" si="26"/>
        <v>31.52583728522443</v>
      </c>
      <c r="D128" s="235">
        <f t="shared" si="23"/>
        <v>0.5254306214204072</v>
      </c>
      <c r="E128" s="235">
        <f t="shared" si="19"/>
        <v>0.8520496563574177</v>
      </c>
      <c r="F128" s="236">
        <f t="shared" si="17"/>
        <v>1.377480277777825</v>
      </c>
      <c r="G128" s="238"/>
      <c r="H128" s="514"/>
      <c r="I128" s="234" t="s">
        <v>235</v>
      </c>
      <c r="J128" s="235">
        <f t="shared" si="27"/>
        <v>288.44976666666776</v>
      </c>
      <c r="K128" s="235">
        <f t="shared" si="24"/>
        <v>4.8074961111111296</v>
      </c>
      <c r="L128" s="235">
        <f t="shared" si="25"/>
        <v>7.5907833333333334</v>
      </c>
      <c r="M128" s="236">
        <f t="shared" si="18"/>
        <v>12.398279444444462</v>
      </c>
      <c r="N128" s="238"/>
      <c r="O128" s="514"/>
      <c r="P128" s="234" t="s">
        <v>235</v>
      </c>
      <c r="Q128" s="235">
        <f t="shared" si="16"/>
        <v>406.21797222222341</v>
      </c>
      <c r="R128" s="235">
        <f t="shared" si="14"/>
        <v>6.7702995370370571</v>
      </c>
      <c r="S128" s="235">
        <f t="shared" si="15"/>
        <v>6.5519027777777783</v>
      </c>
      <c r="T128" s="236">
        <f t="shared" si="20"/>
        <v>13.322202314814835</v>
      </c>
      <c r="U128" s="238"/>
      <c r="V128" s="514"/>
      <c r="W128" s="234" t="s">
        <v>235</v>
      </c>
      <c r="X128" s="235"/>
      <c r="Y128" s="235"/>
      <c r="Z128" s="235"/>
      <c r="AA128" s="236">
        <f t="shared" si="21"/>
        <v>0</v>
      </c>
      <c r="AB128" s="238"/>
      <c r="AC128" s="514"/>
      <c r="AD128" s="234" t="s">
        <v>235</v>
      </c>
      <c r="AE128" s="235"/>
      <c r="AF128" s="235"/>
      <c r="AG128" s="235"/>
      <c r="AH128" s="236">
        <f t="shared" si="22"/>
        <v>0</v>
      </c>
      <c r="AI128" s="238"/>
      <c r="AK128" s="240"/>
    </row>
    <row r="129" spans="1:37" x14ac:dyDescent="0.2">
      <c r="A129" s="515"/>
      <c r="B129" s="234" t="s">
        <v>236</v>
      </c>
      <c r="C129" s="235">
        <f t="shared" si="26"/>
        <v>30.673787628867011</v>
      </c>
      <c r="D129" s="235">
        <f t="shared" si="23"/>
        <v>0.51122979381445022</v>
      </c>
      <c r="E129" s="235">
        <f t="shared" si="19"/>
        <v>0.8520496563574177</v>
      </c>
      <c r="F129" s="236">
        <f t="shared" si="17"/>
        <v>1.3632794501718679</v>
      </c>
      <c r="G129" s="239">
        <f>SUM(D118:D129)</f>
        <v>7.0720121477665616</v>
      </c>
      <c r="H129" s="515"/>
      <c r="I129" s="234" t="s">
        <v>236</v>
      </c>
      <c r="J129" s="235">
        <f t="shared" si="27"/>
        <v>280.85898333333444</v>
      </c>
      <c r="K129" s="235">
        <f t="shared" si="24"/>
        <v>4.6809830555555747</v>
      </c>
      <c r="L129" s="235">
        <f t="shared" si="25"/>
        <v>7.5907833333333334</v>
      </c>
      <c r="M129" s="236">
        <f t="shared" si="18"/>
        <v>12.271766388888908</v>
      </c>
      <c r="N129" s="238">
        <f>SUM(K118:K129)</f>
        <v>64.521658333333534</v>
      </c>
      <c r="O129" s="515"/>
      <c r="P129" s="234" t="s">
        <v>236</v>
      </c>
      <c r="Q129" s="235">
        <f t="shared" si="16"/>
        <v>399.66606944444561</v>
      </c>
      <c r="R129" s="235">
        <f t="shared" si="14"/>
        <v>6.661101157407427</v>
      </c>
      <c r="S129" s="235">
        <f t="shared" si="15"/>
        <v>6.5519027777777783</v>
      </c>
      <c r="T129" s="236">
        <f t="shared" si="20"/>
        <v>13.213003935185206</v>
      </c>
      <c r="U129" s="238">
        <f>SUM(R118:R129)</f>
        <v>87.140306944444717</v>
      </c>
      <c r="V129" s="515"/>
      <c r="W129" s="234" t="s">
        <v>236</v>
      </c>
      <c r="X129" s="235"/>
      <c r="Y129" s="235"/>
      <c r="Z129" s="235"/>
      <c r="AA129" s="236">
        <f t="shared" si="21"/>
        <v>0</v>
      </c>
      <c r="AB129" s="238">
        <f>SUM(Y118:Y129)</f>
        <v>0</v>
      </c>
      <c r="AC129" s="515"/>
      <c r="AD129" s="234" t="s">
        <v>236</v>
      </c>
      <c r="AE129" s="235"/>
      <c r="AF129" s="235"/>
      <c r="AG129" s="235"/>
      <c r="AH129" s="236">
        <f t="shared" si="22"/>
        <v>0</v>
      </c>
      <c r="AI129" s="238">
        <f>SUM(AF118:AF129)</f>
        <v>0</v>
      </c>
      <c r="AJ129" s="208">
        <f>AJ117+1</f>
        <v>2031</v>
      </c>
      <c r="AK129" s="240">
        <f>G129+N129+U129+AB129+AI129</f>
        <v>158.73397742554482</v>
      </c>
    </row>
    <row r="130" spans="1:37" x14ac:dyDescent="0.2">
      <c r="A130" s="513">
        <f>A118+1</f>
        <v>2032</v>
      </c>
      <c r="B130" s="234" t="s">
        <v>225</v>
      </c>
      <c r="C130" s="235">
        <f t="shared" si="26"/>
        <v>29.821737972509592</v>
      </c>
      <c r="D130" s="235">
        <f t="shared" si="23"/>
        <v>0.49702896620849324</v>
      </c>
      <c r="E130" s="235">
        <f t="shared" si="19"/>
        <v>0.8520496563574177</v>
      </c>
      <c r="F130" s="236">
        <f>D130+E130</f>
        <v>1.3490786225659108</v>
      </c>
      <c r="G130" s="239"/>
      <c r="H130" s="512">
        <f>H118+1</f>
        <v>2032</v>
      </c>
      <c r="I130" s="234" t="s">
        <v>225</v>
      </c>
      <c r="J130" s="235">
        <f t="shared" si="27"/>
        <v>273.26820000000112</v>
      </c>
      <c r="K130" s="235">
        <f t="shared" si="24"/>
        <v>4.5544700000000189</v>
      </c>
      <c r="L130" s="235">
        <f t="shared" si="25"/>
        <v>7.5907833333333334</v>
      </c>
      <c r="M130" s="236">
        <f t="shared" si="18"/>
        <v>12.145253333333352</v>
      </c>
      <c r="N130" s="237"/>
      <c r="O130" s="519">
        <f>O118+1</f>
        <v>2032</v>
      </c>
      <c r="P130" s="234" t="s">
        <v>225</v>
      </c>
      <c r="Q130" s="235">
        <f t="shared" si="16"/>
        <v>393.11416666666781</v>
      </c>
      <c r="R130" s="235">
        <f t="shared" si="14"/>
        <v>6.5519027777777978</v>
      </c>
      <c r="S130" s="235">
        <f t="shared" si="15"/>
        <v>6.5519027777777783</v>
      </c>
      <c r="T130" s="247">
        <f t="shared" si="20"/>
        <v>13.103805555555576</v>
      </c>
      <c r="U130" s="237"/>
      <c r="V130" s="519">
        <f>V118+1</f>
        <v>2031</v>
      </c>
      <c r="W130" s="234" t="s">
        <v>225</v>
      </c>
      <c r="X130" s="235"/>
      <c r="Y130" s="235"/>
      <c r="Z130" s="235"/>
      <c r="AA130" s="247">
        <f t="shared" si="21"/>
        <v>0</v>
      </c>
      <c r="AB130" s="237"/>
      <c r="AC130" s="519">
        <f>AC118+1</f>
        <v>2031</v>
      </c>
      <c r="AD130" s="234" t="s">
        <v>225</v>
      </c>
      <c r="AE130" s="235"/>
      <c r="AF130" s="235"/>
      <c r="AG130" s="235"/>
      <c r="AH130" s="247">
        <f t="shared" si="22"/>
        <v>0</v>
      </c>
      <c r="AI130" s="237"/>
      <c r="AK130" s="240"/>
    </row>
    <row r="131" spans="1:37" x14ac:dyDescent="0.2">
      <c r="A131" s="514"/>
      <c r="B131" s="234" t="s">
        <v>226</v>
      </c>
      <c r="C131" s="235">
        <f t="shared" si="26"/>
        <v>28.969688316152173</v>
      </c>
      <c r="D131" s="235">
        <f t="shared" si="23"/>
        <v>0.48282813860253621</v>
      </c>
      <c r="E131" s="235">
        <f t="shared" si="19"/>
        <v>0.8520496563574177</v>
      </c>
      <c r="F131" s="236">
        <f>D131+E131</f>
        <v>1.334877794959954</v>
      </c>
      <c r="G131" s="239"/>
      <c r="H131" s="512"/>
      <c r="I131" s="234" t="s">
        <v>226</v>
      </c>
      <c r="J131" s="235">
        <f t="shared" si="27"/>
        <v>265.6774166666678</v>
      </c>
      <c r="K131" s="235">
        <f t="shared" si="24"/>
        <v>4.4279569444444631</v>
      </c>
      <c r="L131" s="235">
        <f t="shared" si="25"/>
        <v>7.5907833333333334</v>
      </c>
      <c r="M131" s="247">
        <f t="shared" si="18"/>
        <v>12.018740277777797</v>
      </c>
      <c r="N131" s="238"/>
      <c r="O131" s="520"/>
      <c r="P131" s="234" t="s">
        <v>226</v>
      </c>
      <c r="Q131" s="235">
        <f t="shared" si="16"/>
        <v>386.56226388889002</v>
      </c>
      <c r="R131" s="235">
        <f t="shared" si="14"/>
        <v>6.4427043981481669</v>
      </c>
      <c r="S131" s="235">
        <f t="shared" si="15"/>
        <v>6.5519027777777783</v>
      </c>
      <c r="T131" s="247">
        <f t="shared" si="20"/>
        <v>12.994607175925946</v>
      </c>
      <c r="U131" s="238"/>
      <c r="V131" s="520"/>
      <c r="W131" s="234" t="s">
        <v>226</v>
      </c>
      <c r="X131" s="235"/>
      <c r="Y131" s="235"/>
      <c r="Z131" s="235"/>
      <c r="AA131" s="247">
        <f t="shared" si="21"/>
        <v>0</v>
      </c>
      <c r="AB131" s="238"/>
      <c r="AC131" s="520"/>
      <c r="AD131" s="234" t="s">
        <v>226</v>
      </c>
      <c r="AE131" s="235"/>
      <c r="AF131" s="235"/>
      <c r="AG131" s="235"/>
      <c r="AH131" s="247">
        <f t="shared" si="22"/>
        <v>0</v>
      </c>
      <c r="AI131" s="238"/>
      <c r="AK131" s="240"/>
    </row>
    <row r="132" spans="1:37" x14ac:dyDescent="0.2">
      <c r="A132" s="514"/>
      <c r="B132" s="234" t="s">
        <v>227</v>
      </c>
      <c r="C132" s="235">
        <f t="shared" si="26"/>
        <v>28.117638659794753</v>
      </c>
      <c r="D132" s="235">
        <f t="shared" si="23"/>
        <v>0.46862731099657928</v>
      </c>
      <c r="E132" s="235">
        <f t="shared" si="19"/>
        <v>0.8520496563574177</v>
      </c>
      <c r="F132" s="236">
        <f>D132+E132</f>
        <v>1.3206769673539971</v>
      </c>
      <c r="G132" s="239"/>
      <c r="H132" s="512"/>
      <c r="I132" s="234" t="s">
        <v>227</v>
      </c>
      <c r="J132" s="235">
        <f t="shared" si="27"/>
        <v>258.08663333333448</v>
      </c>
      <c r="K132" s="235">
        <f t="shared" si="24"/>
        <v>4.3014438888889082</v>
      </c>
      <c r="L132" s="235">
        <f t="shared" si="25"/>
        <v>7.5907833333333334</v>
      </c>
      <c r="M132" s="247">
        <f t="shared" si="18"/>
        <v>11.892227222222242</v>
      </c>
      <c r="N132" s="238"/>
      <c r="O132" s="520"/>
      <c r="P132" s="234" t="s">
        <v>227</v>
      </c>
      <c r="Q132" s="235">
        <f t="shared" si="16"/>
        <v>380.01036111111222</v>
      </c>
      <c r="R132" s="235">
        <f t="shared" si="14"/>
        <v>6.3335060185185377</v>
      </c>
      <c r="S132" s="235">
        <f t="shared" si="15"/>
        <v>6.5519027777777783</v>
      </c>
      <c r="T132" s="247">
        <f t="shared" si="20"/>
        <v>12.885408796296316</v>
      </c>
      <c r="U132" s="238"/>
      <c r="V132" s="520"/>
      <c r="W132" s="234" t="s">
        <v>227</v>
      </c>
      <c r="X132" s="235"/>
      <c r="Y132" s="235"/>
      <c r="Z132" s="235"/>
      <c r="AA132" s="247">
        <f t="shared" si="21"/>
        <v>0</v>
      </c>
      <c r="AB132" s="238"/>
      <c r="AC132" s="520"/>
      <c r="AD132" s="234" t="s">
        <v>227</v>
      </c>
      <c r="AE132" s="235"/>
      <c r="AF132" s="235"/>
      <c r="AG132" s="235"/>
      <c r="AH132" s="247">
        <f t="shared" si="22"/>
        <v>0</v>
      </c>
      <c r="AI132" s="238"/>
      <c r="AK132" s="240"/>
    </row>
    <row r="133" spans="1:37" x14ac:dyDescent="0.2">
      <c r="A133" s="514"/>
      <c r="B133" s="234" t="s">
        <v>228</v>
      </c>
      <c r="C133" s="235">
        <f t="shared" si="26"/>
        <v>27.265589003437334</v>
      </c>
      <c r="D133" s="235">
        <f t="shared" si="23"/>
        <v>0.45442648339062225</v>
      </c>
      <c r="E133" s="235">
        <f t="shared" si="19"/>
        <v>0.8520496563574177</v>
      </c>
      <c r="F133" s="236">
        <f>D133+E133</f>
        <v>1.30647613974804</v>
      </c>
      <c r="G133" s="239"/>
      <c r="H133" s="512"/>
      <c r="I133" s="234" t="s">
        <v>228</v>
      </c>
      <c r="J133" s="235">
        <f t="shared" si="27"/>
        <v>250.49585000000116</v>
      </c>
      <c r="K133" s="235">
        <f t="shared" si="24"/>
        <v>4.1749308333333532</v>
      </c>
      <c r="L133" s="235">
        <f t="shared" si="25"/>
        <v>7.5907833333333334</v>
      </c>
      <c r="M133" s="247">
        <f t="shared" si="18"/>
        <v>11.765714166666687</v>
      </c>
      <c r="N133" s="238"/>
      <c r="O133" s="520"/>
      <c r="P133" s="234" t="s">
        <v>228</v>
      </c>
      <c r="Q133" s="235">
        <f t="shared" si="16"/>
        <v>373.45845833333442</v>
      </c>
      <c r="R133" s="235">
        <f t="shared" si="14"/>
        <v>6.2243076388889067</v>
      </c>
      <c r="S133" s="235">
        <f t="shared" si="15"/>
        <v>6.5519027777777783</v>
      </c>
      <c r="T133" s="247">
        <f t="shared" si="20"/>
        <v>12.776210416666686</v>
      </c>
      <c r="U133" s="238"/>
      <c r="V133" s="520"/>
      <c r="W133" s="234" t="s">
        <v>228</v>
      </c>
      <c r="X133" s="235"/>
      <c r="Y133" s="235"/>
      <c r="Z133" s="235"/>
      <c r="AA133" s="247">
        <f t="shared" si="21"/>
        <v>0</v>
      </c>
      <c r="AB133" s="238"/>
      <c r="AC133" s="520"/>
      <c r="AD133" s="234" t="s">
        <v>228</v>
      </c>
      <c r="AE133" s="235"/>
      <c r="AF133" s="235"/>
      <c r="AG133" s="235"/>
      <c r="AH133" s="247">
        <f t="shared" si="22"/>
        <v>0</v>
      </c>
      <c r="AI133" s="238"/>
      <c r="AK133" s="240"/>
    </row>
    <row r="134" spans="1:37" x14ac:dyDescent="0.2">
      <c r="A134" s="514"/>
      <c r="B134" s="234" t="s">
        <v>229</v>
      </c>
      <c r="C134" s="235">
        <f t="shared" si="26"/>
        <v>26.413539347079915</v>
      </c>
      <c r="D134" s="235">
        <f t="shared" si="23"/>
        <v>0.44022565578466527</v>
      </c>
      <c r="E134" s="235">
        <f t="shared" si="19"/>
        <v>0.8520496563574177</v>
      </c>
      <c r="F134" s="236">
        <f>D134+E134</f>
        <v>1.2922753121420829</v>
      </c>
      <c r="G134" s="239"/>
      <c r="H134" s="512"/>
      <c r="I134" s="234" t="s">
        <v>229</v>
      </c>
      <c r="J134" s="235">
        <f t="shared" si="27"/>
        <v>242.90506666666784</v>
      </c>
      <c r="K134" s="235">
        <f t="shared" si="24"/>
        <v>4.0484177777777974</v>
      </c>
      <c r="L134" s="235">
        <f t="shared" si="25"/>
        <v>7.5907833333333334</v>
      </c>
      <c r="M134" s="247">
        <f t="shared" si="18"/>
        <v>11.639201111111131</v>
      </c>
      <c r="N134" s="238"/>
      <c r="O134" s="520"/>
      <c r="P134" s="234" t="s">
        <v>229</v>
      </c>
      <c r="Q134" s="235">
        <f t="shared" si="16"/>
        <v>366.90655555555662</v>
      </c>
      <c r="R134" s="235">
        <f t="shared" ref="R134:R189" si="28">Q134*$D$7/12</f>
        <v>6.1151092592592775</v>
      </c>
      <c r="S134" s="235">
        <f t="shared" ref="S134:S189" si="29">$Q$7/R$8</f>
        <v>6.5519027777777783</v>
      </c>
      <c r="T134" s="247">
        <f t="shared" si="20"/>
        <v>12.667012037037056</v>
      </c>
      <c r="U134" s="238"/>
      <c r="V134" s="520"/>
      <c r="W134" s="234" t="s">
        <v>229</v>
      </c>
      <c r="X134" s="235"/>
      <c r="Y134" s="235"/>
      <c r="Z134" s="235"/>
      <c r="AA134" s="247">
        <f t="shared" si="21"/>
        <v>0</v>
      </c>
      <c r="AB134" s="238"/>
      <c r="AC134" s="520"/>
      <c r="AD134" s="234" t="s">
        <v>229</v>
      </c>
      <c r="AE134" s="235"/>
      <c r="AF134" s="235"/>
      <c r="AG134" s="235"/>
      <c r="AH134" s="247">
        <f t="shared" si="22"/>
        <v>0</v>
      </c>
      <c r="AI134" s="238"/>
      <c r="AK134" s="240"/>
    </row>
    <row r="135" spans="1:37" x14ac:dyDescent="0.2">
      <c r="A135" s="514"/>
      <c r="B135" s="234" t="s">
        <v>230</v>
      </c>
      <c r="C135" s="235">
        <f t="shared" si="26"/>
        <v>25.561489690722496</v>
      </c>
      <c r="D135" s="235">
        <f t="shared" si="23"/>
        <v>0.42602482817870829</v>
      </c>
      <c r="E135" s="235">
        <f t="shared" si="19"/>
        <v>0.8520496563574177</v>
      </c>
      <c r="F135" s="236">
        <f t="shared" ref="F135:F140" si="30">D135+E135</f>
        <v>1.278074484536126</v>
      </c>
      <c r="G135" s="239"/>
      <c r="H135" s="512"/>
      <c r="I135" s="234" t="s">
        <v>230</v>
      </c>
      <c r="J135" s="235">
        <f t="shared" si="27"/>
        <v>235.31428333333452</v>
      </c>
      <c r="K135" s="235">
        <f t="shared" si="24"/>
        <v>3.9219047222222421</v>
      </c>
      <c r="L135" s="235">
        <f t="shared" si="25"/>
        <v>7.5907833333333334</v>
      </c>
      <c r="M135" s="247">
        <f t="shared" si="18"/>
        <v>11.512688055555575</v>
      </c>
      <c r="N135" s="238"/>
      <c r="O135" s="520"/>
      <c r="P135" s="234" t="s">
        <v>230</v>
      </c>
      <c r="Q135" s="235">
        <f t="shared" ref="Q135:Q189" si="31">Q134-S134</f>
        <v>360.35465277777882</v>
      </c>
      <c r="R135" s="235">
        <f t="shared" si="28"/>
        <v>6.0059108796296465</v>
      </c>
      <c r="S135" s="235">
        <f t="shared" si="29"/>
        <v>6.5519027777777783</v>
      </c>
      <c r="T135" s="247">
        <f t="shared" si="20"/>
        <v>12.557813657407426</v>
      </c>
      <c r="U135" s="238"/>
      <c r="V135" s="520"/>
      <c r="W135" s="234" t="s">
        <v>230</v>
      </c>
      <c r="X135" s="235"/>
      <c r="Y135" s="235"/>
      <c r="Z135" s="235"/>
      <c r="AA135" s="247">
        <f t="shared" si="21"/>
        <v>0</v>
      </c>
      <c r="AB135" s="238"/>
      <c r="AC135" s="520"/>
      <c r="AD135" s="234" t="s">
        <v>230</v>
      </c>
      <c r="AE135" s="235"/>
      <c r="AF135" s="235"/>
      <c r="AG135" s="235"/>
      <c r="AH135" s="247">
        <f t="shared" si="22"/>
        <v>0</v>
      </c>
      <c r="AI135" s="238"/>
      <c r="AK135" s="240"/>
    </row>
    <row r="136" spans="1:37" x14ac:dyDescent="0.2">
      <c r="A136" s="514"/>
      <c r="B136" s="234" t="s">
        <v>231</v>
      </c>
      <c r="C136" s="235">
        <f t="shared" si="26"/>
        <v>24.709440034365077</v>
      </c>
      <c r="D136" s="235">
        <f t="shared" si="23"/>
        <v>0.41182400057275131</v>
      </c>
      <c r="E136" s="235">
        <f t="shared" si="19"/>
        <v>0.8520496563574177</v>
      </c>
      <c r="F136" s="236">
        <f t="shared" si="30"/>
        <v>1.263873656930169</v>
      </c>
      <c r="G136" s="239"/>
      <c r="H136" s="512"/>
      <c r="I136" s="234" t="s">
        <v>231</v>
      </c>
      <c r="J136" s="235">
        <f t="shared" si="27"/>
        <v>227.7235000000012</v>
      </c>
      <c r="K136" s="235">
        <f t="shared" si="24"/>
        <v>3.7953916666666867</v>
      </c>
      <c r="L136" s="235">
        <f t="shared" si="25"/>
        <v>7.5907833333333334</v>
      </c>
      <c r="M136" s="247">
        <f t="shared" si="18"/>
        <v>11.386175000000019</v>
      </c>
      <c r="N136" s="238"/>
      <c r="O136" s="520"/>
      <c r="P136" s="234" t="s">
        <v>231</v>
      </c>
      <c r="Q136" s="235">
        <f t="shared" si="31"/>
        <v>353.80275000000103</v>
      </c>
      <c r="R136" s="235">
        <f t="shared" si="28"/>
        <v>5.8967125000000173</v>
      </c>
      <c r="S136" s="235">
        <f t="shared" si="29"/>
        <v>6.5519027777777783</v>
      </c>
      <c r="T136" s="247">
        <f t="shared" si="20"/>
        <v>12.448615277777796</v>
      </c>
      <c r="U136" s="238"/>
      <c r="V136" s="520"/>
      <c r="W136" s="234" t="s">
        <v>231</v>
      </c>
      <c r="X136" s="235"/>
      <c r="Y136" s="235"/>
      <c r="Z136" s="235"/>
      <c r="AA136" s="247">
        <f t="shared" si="21"/>
        <v>0</v>
      </c>
      <c r="AB136" s="238"/>
      <c r="AC136" s="520"/>
      <c r="AD136" s="234" t="s">
        <v>231</v>
      </c>
      <c r="AE136" s="235"/>
      <c r="AF136" s="235"/>
      <c r="AG136" s="235"/>
      <c r="AH136" s="247">
        <f t="shared" si="22"/>
        <v>0</v>
      </c>
      <c r="AI136" s="238"/>
      <c r="AK136" s="240"/>
    </row>
    <row r="137" spans="1:37" x14ac:dyDescent="0.2">
      <c r="A137" s="514"/>
      <c r="B137" s="234" t="s">
        <v>232</v>
      </c>
      <c r="C137" s="235">
        <f t="shared" si="26"/>
        <v>23.857390378007658</v>
      </c>
      <c r="D137" s="235">
        <f t="shared" si="23"/>
        <v>0.39762317296679428</v>
      </c>
      <c r="E137" s="235">
        <f t="shared" si="19"/>
        <v>0.8520496563574177</v>
      </c>
      <c r="F137" s="236">
        <f t="shared" si="30"/>
        <v>1.2496728293242119</v>
      </c>
      <c r="G137" s="239"/>
      <c r="H137" s="512"/>
      <c r="I137" s="234" t="s">
        <v>232</v>
      </c>
      <c r="J137" s="235">
        <f t="shared" si="27"/>
        <v>220.13271666666787</v>
      </c>
      <c r="K137" s="235">
        <f t="shared" si="24"/>
        <v>3.6688786111111313</v>
      </c>
      <c r="L137" s="235">
        <f t="shared" si="25"/>
        <v>7.5907833333333334</v>
      </c>
      <c r="M137" s="247">
        <f t="shared" si="18"/>
        <v>11.259661944444465</v>
      </c>
      <c r="N137" s="238"/>
      <c r="O137" s="520"/>
      <c r="P137" s="234" t="s">
        <v>232</v>
      </c>
      <c r="Q137" s="235">
        <f t="shared" si="31"/>
        <v>347.25084722222323</v>
      </c>
      <c r="R137" s="235">
        <f t="shared" si="28"/>
        <v>5.7875141203703881</v>
      </c>
      <c r="S137" s="235">
        <f t="shared" si="29"/>
        <v>6.5519027777777783</v>
      </c>
      <c r="T137" s="247">
        <f t="shared" si="20"/>
        <v>12.339416898148166</v>
      </c>
      <c r="U137" s="238"/>
      <c r="V137" s="520"/>
      <c r="W137" s="234" t="s">
        <v>232</v>
      </c>
      <c r="X137" s="235"/>
      <c r="Y137" s="235"/>
      <c r="Z137" s="235"/>
      <c r="AA137" s="247">
        <f t="shared" si="21"/>
        <v>0</v>
      </c>
      <c r="AB137" s="238"/>
      <c r="AC137" s="520"/>
      <c r="AD137" s="234" t="s">
        <v>232</v>
      </c>
      <c r="AE137" s="235"/>
      <c r="AF137" s="235"/>
      <c r="AG137" s="235"/>
      <c r="AH137" s="247">
        <f t="shared" si="22"/>
        <v>0</v>
      </c>
      <c r="AI137" s="238"/>
      <c r="AK137" s="240"/>
    </row>
    <row r="138" spans="1:37" x14ac:dyDescent="0.2">
      <c r="A138" s="514"/>
      <c r="B138" s="234" t="s">
        <v>233</v>
      </c>
      <c r="C138" s="235">
        <f t="shared" si="26"/>
        <v>23.005340721650239</v>
      </c>
      <c r="D138" s="235">
        <f t="shared" si="23"/>
        <v>0.38342234536083736</v>
      </c>
      <c r="E138" s="235">
        <f t="shared" si="19"/>
        <v>0.8520496563574177</v>
      </c>
      <c r="F138" s="236">
        <f t="shared" si="30"/>
        <v>1.235472001718255</v>
      </c>
      <c r="G138" s="239"/>
      <c r="H138" s="512"/>
      <c r="I138" s="234" t="s">
        <v>233</v>
      </c>
      <c r="J138" s="235">
        <f t="shared" si="27"/>
        <v>212.54193333333455</v>
      </c>
      <c r="K138" s="235">
        <f t="shared" si="24"/>
        <v>3.5423655555555764</v>
      </c>
      <c r="L138" s="235">
        <f t="shared" si="25"/>
        <v>7.5907833333333334</v>
      </c>
      <c r="M138" s="247">
        <f t="shared" si="18"/>
        <v>11.133148888888909</v>
      </c>
      <c r="N138" s="238"/>
      <c r="O138" s="520"/>
      <c r="P138" s="234" t="s">
        <v>233</v>
      </c>
      <c r="Q138" s="235">
        <f t="shared" si="31"/>
        <v>340.69894444444543</v>
      </c>
      <c r="R138" s="235">
        <f t="shared" si="28"/>
        <v>5.6783157407407572</v>
      </c>
      <c r="S138" s="235">
        <f t="shared" si="29"/>
        <v>6.5519027777777783</v>
      </c>
      <c r="T138" s="247">
        <f t="shared" si="20"/>
        <v>12.230218518518535</v>
      </c>
      <c r="U138" s="238"/>
      <c r="V138" s="520"/>
      <c r="W138" s="234" t="s">
        <v>233</v>
      </c>
      <c r="X138" s="235"/>
      <c r="Y138" s="235"/>
      <c r="Z138" s="235"/>
      <c r="AA138" s="247">
        <f t="shared" si="21"/>
        <v>0</v>
      </c>
      <c r="AB138" s="238"/>
      <c r="AC138" s="520"/>
      <c r="AD138" s="234" t="s">
        <v>233</v>
      </c>
      <c r="AE138" s="235"/>
      <c r="AF138" s="235"/>
      <c r="AG138" s="235"/>
      <c r="AH138" s="247">
        <f t="shared" si="22"/>
        <v>0</v>
      </c>
      <c r="AI138" s="238"/>
      <c r="AK138" s="240"/>
    </row>
    <row r="139" spans="1:37" x14ac:dyDescent="0.2">
      <c r="A139" s="514"/>
      <c r="B139" s="234" t="s">
        <v>234</v>
      </c>
      <c r="C139" s="235">
        <f t="shared" si="26"/>
        <v>22.153291065292819</v>
      </c>
      <c r="D139" s="235">
        <f t="shared" si="23"/>
        <v>0.36922151775488032</v>
      </c>
      <c r="E139" s="235">
        <f t="shared" si="19"/>
        <v>0.8520496563574177</v>
      </c>
      <c r="F139" s="236">
        <f t="shared" si="30"/>
        <v>1.2212711741122981</v>
      </c>
      <c r="G139" s="239"/>
      <c r="H139" s="512"/>
      <c r="I139" s="234" t="s">
        <v>234</v>
      </c>
      <c r="J139" s="235">
        <f t="shared" si="27"/>
        <v>204.95115000000123</v>
      </c>
      <c r="K139" s="235">
        <f t="shared" si="24"/>
        <v>3.4158525000000211</v>
      </c>
      <c r="L139" s="235">
        <f t="shared" si="25"/>
        <v>7.5907833333333334</v>
      </c>
      <c r="M139" s="247">
        <f t="shared" si="18"/>
        <v>11.006635833333355</v>
      </c>
      <c r="N139" s="238"/>
      <c r="O139" s="520"/>
      <c r="P139" s="234" t="s">
        <v>234</v>
      </c>
      <c r="Q139" s="235">
        <f t="shared" si="31"/>
        <v>334.14704166666763</v>
      </c>
      <c r="R139" s="235">
        <f t="shared" si="28"/>
        <v>5.569117361111128</v>
      </c>
      <c r="S139" s="235">
        <f t="shared" si="29"/>
        <v>6.5519027777777783</v>
      </c>
      <c r="T139" s="247">
        <f t="shared" si="20"/>
        <v>12.121020138888905</v>
      </c>
      <c r="U139" s="238"/>
      <c r="V139" s="520"/>
      <c r="W139" s="234" t="s">
        <v>234</v>
      </c>
      <c r="X139" s="235"/>
      <c r="Y139" s="235"/>
      <c r="Z139" s="235"/>
      <c r="AA139" s="247">
        <f t="shared" si="21"/>
        <v>0</v>
      </c>
      <c r="AB139" s="238"/>
      <c r="AC139" s="520"/>
      <c r="AD139" s="234" t="s">
        <v>234</v>
      </c>
      <c r="AE139" s="235"/>
      <c r="AF139" s="235"/>
      <c r="AG139" s="235"/>
      <c r="AH139" s="247">
        <f t="shared" si="22"/>
        <v>0</v>
      </c>
      <c r="AI139" s="238"/>
      <c r="AK139" s="240"/>
    </row>
    <row r="140" spans="1:37" x14ac:dyDescent="0.2">
      <c r="A140" s="514"/>
      <c r="B140" s="234" t="s">
        <v>235</v>
      </c>
      <c r="C140" s="235">
        <f t="shared" si="26"/>
        <v>21.3012414089354</v>
      </c>
      <c r="D140" s="235">
        <f t="shared" si="23"/>
        <v>0.3550206901489234</v>
      </c>
      <c r="E140" s="235">
        <f t="shared" si="19"/>
        <v>0.8520496563574177</v>
      </c>
      <c r="F140" s="236">
        <f t="shared" si="30"/>
        <v>1.207070346506341</v>
      </c>
      <c r="G140" s="239"/>
      <c r="H140" s="512"/>
      <c r="I140" s="234" t="s">
        <v>235</v>
      </c>
      <c r="J140" s="235">
        <f t="shared" si="27"/>
        <v>197.36036666666791</v>
      </c>
      <c r="K140" s="235">
        <f t="shared" si="24"/>
        <v>3.2893394444444652</v>
      </c>
      <c r="L140" s="235">
        <f t="shared" si="25"/>
        <v>7.5907833333333334</v>
      </c>
      <c r="M140" s="247">
        <f t="shared" si="18"/>
        <v>10.8801227777778</v>
      </c>
      <c r="N140" s="238"/>
      <c r="O140" s="520"/>
      <c r="P140" s="234" t="s">
        <v>235</v>
      </c>
      <c r="Q140" s="235">
        <f t="shared" si="31"/>
        <v>327.59513888888984</v>
      </c>
      <c r="R140" s="235">
        <f t="shared" si="28"/>
        <v>5.459918981481497</v>
      </c>
      <c r="S140" s="235">
        <f t="shared" si="29"/>
        <v>6.5519027777777783</v>
      </c>
      <c r="T140" s="247">
        <f t="shared" si="20"/>
        <v>12.011821759259275</v>
      </c>
      <c r="U140" s="238"/>
      <c r="V140" s="520"/>
      <c r="W140" s="234" t="s">
        <v>235</v>
      </c>
      <c r="X140" s="235"/>
      <c r="Y140" s="235"/>
      <c r="Z140" s="235"/>
      <c r="AA140" s="247">
        <f t="shared" si="21"/>
        <v>0</v>
      </c>
      <c r="AB140" s="238"/>
      <c r="AC140" s="520"/>
      <c r="AD140" s="234" t="s">
        <v>235</v>
      </c>
      <c r="AE140" s="235"/>
      <c r="AF140" s="235"/>
      <c r="AG140" s="235"/>
      <c r="AH140" s="247">
        <f t="shared" si="22"/>
        <v>0</v>
      </c>
      <c r="AI140" s="238"/>
      <c r="AK140" s="240"/>
    </row>
    <row r="141" spans="1:37" x14ac:dyDescent="0.2">
      <c r="A141" s="515"/>
      <c r="B141" s="234" t="s">
        <v>236</v>
      </c>
      <c r="C141" s="235">
        <f t="shared" si="26"/>
        <v>20.449191752577981</v>
      </c>
      <c r="D141" s="235">
        <f t="shared" si="23"/>
        <v>0.34081986254296637</v>
      </c>
      <c r="E141" s="235">
        <f t="shared" si="19"/>
        <v>0.8520496563574177</v>
      </c>
      <c r="F141" s="236">
        <f>D141+E141</f>
        <v>1.192869518900384</v>
      </c>
      <c r="G141" s="239">
        <f>SUM(D130:D141)</f>
        <v>5.0270929725087576</v>
      </c>
      <c r="H141" s="512"/>
      <c r="I141" s="234" t="s">
        <v>236</v>
      </c>
      <c r="J141" s="235">
        <f t="shared" si="27"/>
        <v>189.76958333333459</v>
      </c>
      <c r="K141" s="235">
        <f t="shared" si="24"/>
        <v>3.1628263888889099</v>
      </c>
      <c r="L141" s="235">
        <f t="shared" si="25"/>
        <v>7.5907833333333334</v>
      </c>
      <c r="M141" s="247">
        <f t="shared" si="18"/>
        <v>10.753609722222244</v>
      </c>
      <c r="N141" s="238">
        <f>SUM(K130:K141)</f>
        <v>46.303778333333575</v>
      </c>
      <c r="O141" s="521"/>
      <c r="P141" s="234" t="s">
        <v>236</v>
      </c>
      <c r="Q141" s="235">
        <f t="shared" si="31"/>
        <v>321.04323611111204</v>
      </c>
      <c r="R141" s="235">
        <f t="shared" si="28"/>
        <v>5.3507206018518678</v>
      </c>
      <c r="S141" s="235">
        <f t="shared" si="29"/>
        <v>6.5519027777777783</v>
      </c>
      <c r="T141" s="247">
        <f t="shared" si="20"/>
        <v>11.902623379629645</v>
      </c>
      <c r="U141" s="238">
        <f>SUM(R130:R141)</f>
        <v>71.415740277777971</v>
      </c>
      <c r="V141" s="521"/>
      <c r="W141" s="234" t="s">
        <v>236</v>
      </c>
      <c r="X141" s="235"/>
      <c r="Y141" s="235"/>
      <c r="Z141" s="235"/>
      <c r="AA141" s="247">
        <f t="shared" si="21"/>
        <v>0</v>
      </c>
      <c r="AB141" s="238">
        <f>SUM(Y130:Y141)</f>
        <v>0</v>
      </c>
      <c r="AC141" s="521"/>
      <c r="AD141" s="234" t="s">
        <v>236</v>
      </c>
      <c r="AE141" s="235"/>
      <c r="AF141" s="235"/>
      <c r="AG141" s="235"/>
      <c r="AH141" s="247">
        <f t="shared" si="22"/>
        <v>0</v>
      </c>
      <c r="AI141" s="238">
        <f>SUM(AF130:AF141)</f>
        <v>0</v>
      </c>
      <c r="AJ141" s="208">
        <f>AJ129+1</f>
        <v>2032</v>
      </c>
      <c r="AK141" s="240">
        <f>G141+N141+U141+AB141+AI141</f>
        <v>122.74661158362031</v>
      </c>
    </row>
    <row r="142" spans="1:37" x14ac:dyDescent="0.2">
      <c r="A142" s="513">
        <f>A130+1</f>
        <v>2033</v>
      </c>
      <c r="B142" s="234" t="s">
        <v>225</v>
      </c>
      <c r="C142" s="235">
        <f t="shared" si="26"/>
        <v>19.597142096220562</v>
      </c>
      <c r="D142" s="235">
        <f t="shared" si="23"/>
        <v>0.32661903493700939</v>
      </c>
      <c r="E142" s="235">
        <f t="shared" si="19"/>
        <v>0.8520496563574177</v>
      </c>
      <c r="F142" s="236">
        <f t="shared" ref="F142:F152" si="32">D142+E142</f>
        <v>1.1786686912944271</v>
      </c>
      <c r="G142" s="239"/>
      <c r="H142" s="512">
        <f>H130+1</f>
        <v>2033</v>
      </c>
      <c r="I142" s="234" t="s">
        <v>225</v>
      </c>
      <c r="J142" s="235">
        <f t="shared" si="27"/>
        <v>182.17880000000127</v>
      </c>
      <c r="K142" s="235">
        <f t="shared" si="24"/>
        <v>3.036313333333355</v>
      </c>
      <c r="L142" s="235">
        <f t="shared" si="25"/>
        <v>7.5907833333333334</v>
      </c>
      <c r="M142" s="247">
        <f t="shared" si="18"/>
        <v>10.627096666666688</v>
      </c>
      <c r="N142" s="237"/>
      <c r="O142" s="519">
        <f>O130+1</f>
        <v>2033</v>
      </c>
      <c r="P142" s="234" t="s">
        <v>225</v>
      </c>
      <c r="Q142" s="235">
        <f t="shared" si="31"/>
        <v>314.49133333333424</v>
      </c>
      <c r="R142" s="235">
        <f t="shared" si="28"/>
        <v>5.2415222222222377</v>
      </c>
      <c r="S142" s="235">
        <f t="shared" si="29"/>
        <v>6.5519027777777783</v>
      </c>
      <c r="T142" s="247">
        <f t="shared" si="20"/>
        <v>11.793425000000017</v>
      </c>
      <c r="U142" s="237"/>
      <c r="V142" s="519">
        <v>2032</v>
      </c>
      <c r="W142" s="234" t="s">
        <v>225</v>
      </c>
      <c r="X142" s="235"/>
      <c r="Y142" s="235"/>
      <c r="Z142" s="235"/>
      <c r="AA142" s="247">
        <f t="shared" si="21"/>
        <v>0</v>
      </c>
      <c r="AB142" s="237"/>
      <c r="AC142" s="519">
        <v>2032</v>
      </c>
      <c r="AD142" s="234" t="s">
        <v>225</v>
      </c>
      <c r="AE142" s="235"/>
      <c r="AF142" s="235"/>
      <c r="AG142" s="235"/>
      <c r="AH142" s="247">
        <f t="shared" si="22"/>
        <v>0</v>
      </c>
      <c r="AI142" s="237"/>
      <c r="AK142" s="240"/>
    </row>
    <row r="143" spans="1:37" x14ac:dyDescent="0.2">
      <c r="A143" s="514"/>
      <c r="B143" s="234" t="s">
        <v>226</v>
      </c>
      <c r="C143" s="235">
        <f t="shared" si="26"/>
        <v>18.745092439863143</v>
      </c>
      <c r="D143" s="235">
        <f t="shared" si="23"/>
        <v>0.31241820733105241</v>
      </c>
      <c r="E143" s="235">
        <f t="shared" si="19"/>
        <v>0.8520496563574177</v>
      </c>
      <c r="F143" s="236">
        <f t="shared" si="32"/>
        <v>1.1644678636884702</v>
      </c>
      <c r="G143" s="239"/>
      <c r="H143" s="512"/>
      <c r="I143" s="234" t="s">
        <v>226</v>
      </c>
      <c r="J143" s="235">
        <f t="shared" si="27"/>
        <v>174.58801666666795</v>
      </c>
      <c r="K143" s="235">
        <f t="shared" si="24"/>
        <v>2.9098002777777996</v>
      </c>
      <c r="L143" s="235">
        <f t="shared" si="25"/>
        <v>7.5907833333333334</v>
      </c>
      <c r="M143" s="247">
        <f t="shared" si="18"/>
        <v>10.500583611111132</v>
      </c>
      <c r="N143" s="238"/>
      <c r="O143" s="520"/>
      <c r="P143" s="234" t="s">
        <v>226</v>
      </c>
      <c r="Q143" s="235">
        <f t="shared" si="31"/>
        <v>307.93943055555644</v>
      </c>
      <c r="R143" s="235">
        <f t="shared" si="28"/>
        <v>5.1323238425926077</v>
      </c>
      <c r="S143" s="235">
        <f t="shared" si="29"/>
        <v>6.5519027777777783</v>
      </c>
      <c r="T143" s="247">
        <f t="shared" si="20"/>
        <v>11.684226620370385</v>
      </c>
      <c r="U143" s="238"/>
      <c r="V143" s="520"/>
      <c r="W143" s="234" t="s">
        <v>226</v>
      </c>
      <c r="X143" s="235"/>
      <c r="Y143" s="235"/>
      <c r="Z143" s="235"/>
      <c r="AA143" s="247">
        <f t="shared" si="21"/>
        <v>0</v>
      </c>
      <c r="AB143" s="238"/>
      <c r="AC143" s="520"/>
      <c r="AD143" s="234" t="s">
        <v>226</v>
      </c>
      <c r="AE143" s="235"/>
      <c r="AF143" s="235"/>
      <c r="AG143" s="235"/>
      <c r="AH143" s="247">
        <f t="shared" si="22"/>
        <v>0</v>
      </c>
      <c r="AI143" s="238"/>
      <c r="AK143" s="240"/>
    </row>
    <row r="144" spans="1:37" x14ac:dyDescent="0.2">
      <c r="A144" s="514"/>
      <c r="B144" s="234" t="s">
        <v>227</v>
      </c>
      <c r="C144" s="235">
        <f t="shared" si="26"/>
        <v>17.893042783505724</v>
      </c>
      <c r="D144" s="235">
        <f t="shared" si="23"/>
        <v>0.29821737972509538</v>
      </c>
      <c r="E144" s="235">
        <f t="shared" si="19"/>
        <v>0.8520496563574177</v>
      </c>
      <c r="F144" s="236">
        <f t="shared" si="32"/>
        <v>1.1502670360825131</v>
      </c>
      <c r="G144" s="239"/>
      <c r="H144" s="512"/>
      <c r="I144" s="234" t="s">
        <v>227</v>
      </c>
      <c r="J144" s="235">
        <f t="shared" si="27"/>
        <v>166.99723333333463</v>
      </c>
      <c r="K144" s="235">
        <f t="shared" si="24"/>
        <v>2.7832872222222438</v>
      </c>
      <c r="L144" s="235">
        <f t="shared" si="25"/>
        <v>7.5907833333333334</v>
      </c>
      <c r="M144" s="247">
        <f t="shared" si="18"/>
        <v>10.374070555555576</v>
      </c>
      <c r="N144" s="238"/>
      <c r="O144" s="520"/>
      <c r="P144" s="234" t="s">
        <v>227</v>
      </c>
      <c r="Q144" s="235">
        <f t="shared" si="31"/>
        <v>301.38752777777864</v>
      </c>
      <c r="R144" s="235">
        <f t="shared" si="28"/>
        <v>5.0231254629629776</v>
      </c>
      <c r="S144" s="235">
        <f t="shared" si="29"/>
        <v>6.5519027777777783</v>
      </c>
      <c r="T144" s="247">
        <f t="shared" si="20"/>
        <v>11.575028240740757</v>
      </c>
      <c r="U144" s="238"/>
      <c r="V144" s="520"/>
      <c r="W144" s="234" t="s">
        <v>227</v>
      </c>
      <c r="X144" s="235"/>
      <c r="Y144" s="235"/>
      <c r="Z144" s="235"/>
      <c r="AA144" s="247">
        <f t="shared" si="21"/>
        <v>0</v>
      </c>
      <c r="AB144" s="238"/>
      <c r="AC144" s="520"/>
      <c r="AD144" s="234" t="s">
        <v>227</v>
      </c>
      <c r="AE144" s="235"/>
      <c r="AF144" s="235"/>
      <c r="AG144" s="235"/>
      <c r="AH144" s="247">
        <f t="shared" si="22"/>
        <v>0</v>
      </c>
      <c r="AI144" s="238"/>
      <c r="AK144" s="240"/>
    </row>
    <row r="145" spans="1:37" x14ac:dyDescent="0.2">
      <c r="A145" s="514"/>
      <c r="B145" s="234" t="s">
        <v>228</v>
      </c>
      <c r="C145" s="235">
        <f t="shared" si="26"/>
        <v>17.040993127148305</v>
      </c>
      <c r="D145" s="235">
        <f t="shared" si="23"/>
        <v>0.2840165521191384</v>
      </c>
      <c r="E145" s="235">
        <f t="shared" si="19"/>
        <v>0.8520496563574177</v>
      </c>
      <c r="F145" s="236">
        <f t="shared" si="32"/>
        <v>1.136066208476556</v>
      </c>
      <c r="G145" s="239"/>
      <c r="H145" s="512"/>
      <c r="I145" s="234" t="s">
        <v>228</v>
      </c>
      <c r="J145" s="235">
        <f t="shared" si="27"/>
        <v>159.40645000000131</v>
      </c>
      <c r="K145" s="235">
        <f t="shared" si="24"/>
        <v>2.6567741666666884</v>
      </c>
      <c r="L145" s="235">
        <f t="shared" si="25"/>
        <v>7.5907833333333334</v>
      </c>
      <c r="M145" s="247">
        <f t="shared" si="18"/>
        <v>10.247557500000022</v>
      </c>
      <c r="N145" s="238"/>
      <c r="O145" s="520"/>
      <c r="P145" s="234" t="s">
        <v>228</v>
      </c>
      <c r="Q145" s="235">
        <f t="shared" si="31"/>
        <v>294.83562500000085</v>
      </c>
      <c r="R145" s="235">
        <f t="shared" si="28"/>
        <v>4.9139270833333475</v>
      </c>
      <c r="S145" s="235">
        <f t="shared" si="29"/>
        <v>6.5519027777777783</v>
      </c>
      <c r="T145" s="247">
        <f t="shared" si="20"/>
        <v>11.465829861111125</v>
      </c>
      <c r="U145" s="238"/>
      <c r="V145" s="520"/>
      <c r="W145" s="234" t="s">
        <v>228</v>
      </c>
      <c r="X145" s="235"/>
      <c r="Y145" s="235"/>
      <c r="Z145" s="235"/>
      <c r="AA145" s="247">
        <f t="shared" si="21"/>
        <v>0</v>
      </c>
      <c r="AB145" s="238"/>
      <c r="AC145" s="520"/>
      <c r="AD145" s="234" t="s">
        <v>228</v>
      </c>
      <c r="AE145" s="235"/>
      <c r="AF145" s="235"/>
      <c r="AG145" s="235"/>
      <c r="AH145" s="247">
        <f t="shared" si="22"/>
        <v>0</v>
      </c>
      <c r="AI145" s="238"/>
      <c r="AK145" s="240"/>
    </row>
    <row r="146" spans="1:37" x14ac:dyDescent="0.2">
      <c r="A146" s="514"/>
      <c r="B146" s="234" t="s">
        <v>229</v>
      </c>
      <c r="C146" s="235">
        <f t="shared" si="26"/>
        <v>16.188943470790885</v>
      </c>
      <c r="D146" s="235">
        <f t="shared" si="23"/>
        <v>0.26981572451318142</v>
      </c>
      <c r="E146" s="235">
        <f t="shared" si="19"/>
        <v>0.8520496563574177</v>
      </c>
      <c r="F146" s="236">
        <f t="shared" si="32"/>
        <v>1.1218653808705992</v>
      </c>
      <c r="G146" s="239"/>
      <c r="H146" s="512"/>
      <c r="I146" s="234" t="s">
        <v>229</v>
      </c>
      <c r="J146" s="235">
        <f t="shared" si="27"/>
        <v>151.81566666666799</v>
      </c>
      <c r="K146" s="235">
        <f t="shared" si="24"/>
        <v>2.5302611111111335</v>
      </c>
      <c r="L146" s="235">
        <f t="shared" si="25"/>
        <v>7.5907833333333334</v>
      </c>
      <c r="M146" s="247">
        <f t="shared" si="18"/>
        <v>10.121044444444466</v>
      </c>
      <c r="N146" s="238"/>
      <c r="O146" s="520"/>
      <c r="P146" s="234" t="s">
        <v>229</v>
      </c>
      <c r="Q146" s="235">
        <f t="shared" si="31"/>
        <v>288.28372222222305</v>
      </c>
      <c r="R146" s="235">
        <f t="shared" si="28"/>
        <v>4.8047287037037174</v>
      </c>
      <c r="S146" s="235">
        <f t="shared" si="29"/>
        <v>6.5519027777777783</v>
      </c>
      <c r="T146" s="247">
        <f t="shared" si="20"/>
        <v>11.356631481481497</v>
      </c>
      <c r="U146" s="238"/>
      <c r="V146" s="520"/>
      <c r="W146" s="234" t="s">
        <v>229</v>
      </c>
      <c r="X146" s="235"/>
      <c r="Y146" s="235"/>
      <c r="Z146" s="235"/>
      <c r="AA146" s="247">
        <f t="shared" si="21"/>
        <v>0</v>
      </c>
      <c r="AB146" s="238"/>
      <c r="AC146" s="520"/>
      <c r="AD146" s="234" t="s">
        <v>229</v>
      </c>
      <c r="AE146" s="235"/>
      <c r="AF146" s="235"/>
      <c r="AG146" s="235"/>
      <c r="AH146" s="247">
        <f t="shared" si="22"/>
        <v>0</v>
      </c>
      <c r="AI146" s="238"/>
      <c r="AK146" s="240"/>
    </row>
    <row r="147" spans="1:37" x14ac:dyDescent="0.2">
      <c r="A147" s="514"/>
      <c r="B147" s="234" t="s">
        <v>230</v>
      </c>
      <c r="C147" s="235">
        <f t="shared" si="26"/>
        <v>15.336893814433468</v>
      </c>
      <c r="D147" s="235">
        <f t="shared" si="23"/>
        <v>0.2556148969072245</v>
      </c>
      <c r="E147" s="235">
        <f t="shared" si="19"/>
        <v>0.8520496563574177</v>
      </c>
      <c r="F147" s="236">
        <f t="shared" si="32"/>
        <v>1.1076645532646423</v>
      </c>
      <c r="G147" s="239"/>
      <c r="H147" s="512"/>
      <c r="I147" s="234" t="s">
        <v>230</v>
      </c>
      <c r="J147" s="235">
        <f t="shared" si="27"/>
        <v>144.22488333333467</v>
      </c>
      <c r="K147" s="235">
        <f t="shared" si="24"/>
        <v>2.4037480555555781</v>
      </c>
      <c r="L147" s="235">
        <f t="shared" si="25"/>
        <v>7.5907833333333334</v>
      </c>
      <c r="M147" s="247">
        <f t="shared" si="18"/>
        <v>9.9945313888889125</v>
      </c>
      <c r="N147" s="238"/>
      <c r="O147" s="520"/>
      <c r="P147" s="234" t="s">
        <v>230</v>
      </c>
      <c r="Q147" s="235">
        <f t="shared" si="31"/>
        <v>281.73181944444525</v>
      </c>
      <c r="R147" s="235">
        <f t="shared" si="28"/>
        <v>4.6955303240740873</v>
      </c>
      <c r="S147" s="235">
        <f t="shared" si="29"/>
        <v>6.5519027777777783</v>
      </c>
      <c r="T147" s="247">
        <f t="shared" si="20"/>
        <v>11.247433101851865</v>
      </c>
      <c r="U147" s="238"/>
      <c r="V147" s="520"/>
      <c r="W147" s="234" t="s">
        <v>230</v>
      </c>
      <c r="X147" s="235"/>
      <c r="Y147" s="235"/>
      <c r="Z147" s="235"/>
      <c r="AA147" s="247">
        <f t="shared" si="21"/>
        <v>0</v>
      </c>
      <c r="AB147" s="238"/>
      <c r="AC147" s="520"/>
      <c r="AD147" s="234" t="s">
        <v>230</v>
      </c>
      <c r="AE147" s="235"/>
      <c r="AF147" s="235"/>
      <c r="AG147" s="235"/>
      <c r="AH147" s="247">
        <f t="shared" si="22"/>
        <v>0</v>
      </c>
      <c r="AI147" s="238"/>
      <c r="AK147" s="240"/>
    </row>
    <row r="148" spans="1:37" x14ac:dyDescent="0.2">
      <c r="A148" s="514"/>
      <c r="B148" s="234" t="s">
        <v>231</v>
      </c>
      <c r="C148" s="235">
        <f t="shared" si="26"/>
        <v>14.484844158076051</v>
      </c>
      <c r="D148" s="235">
        <f t="shared" si="23"/>
        <v>0.24141406930126752</v>
      </c>
      <c r="E148" s="235">
        <f t="shared" si="19"/>
        <v>0.8520496563574177</v>
      </c>
      <c r="F148" s="236">
        <f t="shared" si="32"/>
        <v>1.0934637256586852</v>
      </c>
      <c r="G148" s="239"/>
      <c r="H148" s="512"/>
      <c r="I148" s="234" t="s">
        <v>231</v>
      </c>
      <c r="J148" s="235">
        <f t="shared" si="27"/>
        <v>136.63410000000135</v>
      </c>
      <c r="K148" s="235">
        <f t="shared" si="24"/>
        <v>2.2772350000000228</v>
      </c>
      <c r="L148" s="235">
        <f t="shared" si="25"/>
        <v>7.5907833333333334</v>
      </c>
      <c r="M148" s="247">
        <f t="shared" si="18"/>
        <v>9.8680183333333567</v>
      </c>
      <c r="N148" s="238"/>
      <c r="O148" s="520"/>
      <c r="P148" s="234" t="s">
        <v>231</v>
      </c>
      <c r="Q148" s="235">
        <f t="shared" si="31"/>
        <v>275.17991666666745</v>
      </c>
      <c r="R148" s="235">
        <f t="shared" si="28"/>
        <v>4.5863319444444572</v>
      </c>
      <c r="S148" s="235">
        <f t="shared" si="29"/>
        <v>6.5519027777777783</v>
      </c>
      <c r="T148" s="247">
        <f t="shared" si="20"/>
        <v>11.138234722222236</v>
      </c>
      <c r="U148" s="238"/>
      <c r="V148" s="520"/>
      <c r="W148" s="234" t="s">
        <v>231</v>
      </c>
      <c r="X148" s="235"/>
      <c r="Y148" s="235"/>
      <c r="Z148" s="235"/>
      <c r="AA148" s="247">
        <f t="shared" si="21"/>
        <v>0</v>
      </c>
      <c r="AB148" s="238"/>
      <c r="AC148" s="520"/>
      <c r="AD148" s="234" t="s">
        <v>231</v>
      </c>
      <c r="AE148" s="235"/>
      <c r="AF148" s="235"/>
      <c r="AG148" s="235"/>
      <c r="AH148" s="247">
        <f t="shared" si="22"/>
        <v>0</v>
      </c>
      <c r="AI148" s="238"/>
      <c r="AK148" s="240"/>
    </row>
    <row r="149" spans="1:37" x14ac:dyDescent="0.2">
      <c r="A149" s="514"/>
      <c r="B149" s="234" t="s">
        <v>232</v>
      </c>
      <c r="C149" s="235">
        <f t="shared" si="26"/>
        <v>13.632794501718633</v>
      </c>
      <c r="D149" s="235">
        <f t="shared" si="23"/>
        <v>0.22721324169531057</v>
      </c>
      <c r="E149" s="235">
        <f t="shared" si="19"/>
        <v>0.8520496563574177</v>
      </c>
      <c r="F149" s="236">
        <f t="shared" si="32"/>
        <v>1.0792628980527283</v>
      </c>
      <c r="G149" s="239"/>
      <c r="H149" s="512"/>
      <c r="I149" s="234" t="s">
        <v>232</v>
      </c>
      <c r="J149" s="235">
        <f t="shared" si="27"/>
        <v>129.04331666666803</v>
      </c>
      <c r="K149" s="235">
        <f t="shared" si="24"/>
        <v>2.1507219444444674</v>
      </c>
      <c r="L149" s="235">
        <f t="shared" si="25"/>
        <v>7.5907833333333334</v>
      </c>
      <c r="M149" s="247">
        <f t="shared" si="18"/>
        <v>9.7415052777778008</v>
      </c>
      <c r="N149" s="238"/>
      <c r="O149" s="520"/>
      <c r="P149" s="234" t="s">
        <v>232</v>
      </c>
      <c r="Q149" s="235">
        <f t="shared" si="31"/>
        <v>268.62801388888965</v>
      </c>
      <c r="R149" s="235">
        <f t="shared" si="28"/>
        <v>4.477133564814828</v>
      </c>
      <c r="S149" s="235">
        <f t="shared" si="29"/>
        <v>6.5519027777777783</v>
      </c>
      <c r="T149" s="247">
        <f t="shared" si="20"/>
        <v>11.029036342592606</v>
      </c>
      <c r="U149" s="238"/>
      <c r="V149" s="520"/>
      <c r="W149" s="234" t="s">
        <v>232</v>
      </c>
      <c r="X149" s="235"/>
      <c r="Y149" s="235"/>
      <c r="Z149" s="235"/>
      <c r="AA149" s="247">
        <f t="shared" si="21"/>
        <v>0</v>
      </c>
      <c r="AB149" s="238"/>
      <c r="AC149" s="520"/>
      <c r="AD149" s="234" t="s">
        <v>232</v>
      </c>
      <c r="AE149" s="235"/>
      <c r="AF149" s="235"/>
      <c r="AG149" s="235"/>
      <c r="AH149" s="247">
        <f t="shared" si="22"/>
        <v>0</v>
      </c>
      <c r="AI149" s="238"/>
      <c r="AK149" s="240"/>
    </row>
    <row r="150" spans="1:37" x14ac:dyDescent="0.2">
      <c r="A150" s="514"/>
      <c r="B150" s="234" t="s">
        <v>233</v>
      </c>
      <c r="C150" s="235">
        <f t="shared" si="26"/>
        <v>12.780744845361216</v>
      </c>
      <c r="D150" s="235">
        <f t="shared" si="23"/>
        <v>0.21301241408935359</v>
      </c>
      <c r="E150" s="235">
        <f t="shared" si="19"/>
        <v>0.8520496563574177</v>
      </c>
      <c r="F150" s="236">
        <f t="shared" si="32"/>
        <v>1.0650620704467713</v>
      </c>
      <c r="G150" s="239"/>
      <c r="H150" s="512"/>
      <c r="I150" s="234" t="s">
        <v>233</v>
      </c>
      <c r="J150" s="235">
        <f t="shared" si="27"/>
        <v>121.4525333333347</v>
      </c>
      <c r="K150" s="235">
        <f t="shared" si="24"/>
        <v>2.024208888888912</v>
      </c>
      <c r="L150" s="235">
        <f t="shared" si="25"/>
        <v>7.5907833333333334</v>
      </c>
      <c r="M150" s="247">
        <f t="shared" si="18"/>
        <v>9.614992222222245</v>
      </c>
      <c r="N150" s="238"/>
      <c r="O150" s="520"/>
      <c r="P150" s="234" t="s">
        <v>233</v>
      </c>
      <c r="Q150" s="235">
        <f t="shared" si="31"/>
        <v>262.07611111111186</v>
      </c>
      <c r="R150" s="235">
        <f t="shared" si="28"/>
        <v>4.367935185185198</v>
      </c>
      <c r="S150" s="235">
        <f t="shared" si="29"/>
        <v>6.5519027777777783</v>
      </c>
      <c r="T150" s="247">
        <f t="shared" si="20"/>
        <v>10.919837962962976</v>
      </c>
      <c r="U150" s="238"/>
      <c r="V150" s="520"/>
      <c r="W150" s="234" t="s">
        <v>233</v>
      </c>
      <c r="X150" s="235"/>
      <c r="Y150" s="235"/>
      <c r="Z150" s="235"/>
      <c r="AA150" s="247">
        <f t="shared" si="21"/>
        <v>0</v>
      </c>
      <c r="AB150" s="238"/>
      <c r="AC150" s="520"/>
      <c r="AD150" s="234" t="s">
        <v>233</v>
      </c>
      <c r="AE150" s="235"/>
      <c r="AF150" s="235"/>
      <c r="AG150" s="235"/>
      <c r="AH150" s="247">
        <f t="shared" si="22"/>
        <v>0</v>
      </c>
      <c r="AI150" s="238"/>
      <c r="AK150" s="240"/>
    </row>
    <row r="151" spans="1:37" x14ac:dyDescent="0.2">
      <c r="A151" s="514"/>
      <c r="B151" s="234" t="s">
        <v>234</v>
      </c>
      <c r="C151" s="235">
        <f t="shared" si="26"/>
        <v>11.928695189003799</v>
      </c>
      <c r="D151" s="235">
        <f t="shared" si="23"/>
        <v>0.19881158648339667</v>
      </c>
      <c r="E151" s="235">
        <f t="shared" si="19"/>
        <v>0.8520496563574177</v>
      </c>
      <c r="F151" s="236">
        <f t="shared" si="32"/>
        <v>1.0508612428408144</v>
      </c>
      <c r="G151" s="239"/>
      <c r="H151" s="512"/>
      <c r="I151" s="234" t="s">
        <v>234</v>
      </c>
      <c r="J151" s="235">
        <f t="shared" si="27"/>
        <v>113.86175000000136</v>
      </c>
      <c r="K151" s="235">
        <f t="shared" si="24"/>
        <v>1.897695833333356</v>
      </c>
      <c r="L151" s="235">
        <f t="shared" si="25"/>
        <v>7.5907833333333334</v>
      </c>
      <c r="M151" s="247">
        <f>K151+L151</f>
        <v>9.4884791666666892</v>
      </c>
      <c r="N151" s="238"/>
      <c r="O151" s="520"/>
      <c r="P151" s="234" t="s">
        <v>234</v>
      </c>
      <c r="Q151" s="235">
        <f t="shared" si="31"/>
        <v>255.52420833333409</v>
      </c>
      <c r="R151" s="235">
        <f t="shared" si="28"/>
        <v>4.2587368055555688</v>
      </c>
      <c r="S151" s="235">
        <f t="shared" si="29"/>
        <v>6.5519027777777783</v>
      </c>
      <c r="T151" s="247">
        <f t="shared" si="20"/>
        <v>10.810639583333348</v>
      </c>
      <c r="U151" s="238"/>
      <c r="V151" s="520"/>
      <c r="W151" s="234" t="s">
        <v>234</v>
      </c>
      <c r="X151" s="235"/>
      <c r="Y151" s="235"/>
      <c r="Z151" s="235"/>
      <c r="AA151" s="247">
        <f t="shared" si="21"/>
        <v>0</v>
      </c>
      <c r="AB151" s="238"/>
      <c r="AC151" s="520"/>
      <c r="AD151" s="234" t="s">
        <v>234</v>
      </c>
      <c r="AE151" s="235"/>
      <c r="AF151" s="235"/>
      <c r="AG151" s="235"/>
      <c r="AH151" s="247">
        <f t="shared" si="22"/>
        <v>0</v>
      </c>
      <c r="AI151" s="238"/>
      <c r="AK151" s="240"/>
    </row>
    <row r="152" spans="1:37" x14ac:dyDescent="0.2">
      <c r="A152" s="514"/>
      <c r="B152" s="234" t="s">
        <v>235</v>
      </c>
      <c r="C152" s="235">
        <f t="shared" si="26"/>
        <v>11.076645532646381</v>
      </c>
      <c r="D152" s="235">
        <f t="shared" si="23"/>
        <v>0.18461075887743969</v>
      </c>
      <c r="E152" s="235">
        <f t="shared" si="19"/>
        <v>0.8520496563574177</v>
      </c>
      <c r="F152" s="236">
        <f t="shared" si="32"/>
        <v>1.0366604152348573</v>
      </c>
      <c r="G152" s="239"/>
      <c r="H152" s="512"/>
      <c r="I152" s="234" t="s">
        <v>235</v>
      </c>
      <c r="J152" s="235">
        <f t="shared" si="27"/>
        <v>106.27096666666803</v>
      </c>
      <c r="K152" s="235">
        <f t="shared" si="24"/>
        <v>1.7711827777778006</v>
      </c>
      <c r="L152" s="235">
        <f t="shared" si="25"/>
        <v>7.5907833333333334</v>
      </c>
      <c r="M152" s="247">
        <f>K152+L152</f>
        <v>9.3619661111111334</v>
      </c>
      <c r="N152" s="238"/>
      <c r="O152" s="520"/>
      <c r="P152" s="234" t="s">
        <v>235</v>
      </c>
      <c r="Q152" s="235">
        <f t="shared" si="31"/>
        <v>248.97230555555632</v>
      </c>
      <c r="R152" s="235">
        <f t="shared" si="28"/>
        <v>4.1495384259259387</v>
      </c>
      <c r="S152" s="235">
        <f t="shared" si="29"/>
        <v>6.5519027777777783</v>
      </c>
      <c r="T152" s="247">
        <f t="shared" si="20"/>
        <v>10.701441203703716</v>
      </c>
      <c r="U152" s="238"/>
      <c r="V152" s="520"/>
      <c r="W152" s="234" t="s">
        <v>235</v>
      </c>
      <c r="X152" s="235"/>
      <c r="Y152" s="235"/>
      <c r="Z152" s="235"/>
      <c r="AA152" s="247">
        <f t="shared" si="21"/>
        <v>0</v>
      </c>
      <c r="AB152" s="238"/>
      <c r="AC152" s="520"/>
      <c r="AD152" s="234" t="s">
        <v>235</v>
      </c>
      <c r="AE152" s="235"/>
      <c r="AF152" s="235"/>
      <c r="AG152" s="235"/>
      <c r="AH152" s="247">
        <f t="shared" si="22"/>
        <v>0</v>
      </c>
      <c r="AI152" s="238"/>
      <c r="AK152" s="240"/>
    </row>
    <row r="153" spans="1:37" x14ac:dyDescent="0.2">
      <c r="A153" s="515"/>
      <c r="B153" s="234" t="s">
        <v>236</v>
      </c>
      <c r="C153" s="235">
        <f t="shared" si="26"/>
        <v>10.224595876288964</v>
      </c>
      <c r="D153" s="235">
        <f t="shared" si="23"/>
        <v>0.17040993127148274</v>
      </c>
      <c r="E153" s="235">
        <f t="shared" si="19"/>
        <v>0.8520496563574177</v>
      </c>
      <c r="F153" s="236">
        <f>D153+E153</f>
        <v>1.0224595876289004</v>
      </c>
      <c r="G153" s="239">
        <f>SUM(D142:D153)</f>
        <v>2.9821737972509523</v>
      </c>
      <c r="H153" s="512"/>
      <c r="I153" s="234" t="s">
        <v>236</v>
      </c>
      <c r="J153" s="235">
        <f t="shared" si="27"/>
        <v>98.680183333334696</v>
      </c>
      <c r="K153" s="235">
        <f t="shared" si="24"/>
        <v>1.6446697222222451</v>
      </c>
      <c r="L153" s="235">
        <f t="shared" si="25"/>
        <v>7.5907833333333334</v>
      </c>
      <c r="M153" s="247">
        <f>K153+L153</f>
        <v>9.2354530555555776</v>
      </c>
      <c r="N153" s="239">
        <f>SUM(K142:K153)</f>
        <v>28.085898333333596</v>
      </c>
      <c r="O153" s="521"/>
      <c r="P153" s="234" t="s">
        <v>236</v>
      </c>
      <c r="Q153" s="235">
        <f t="shared" si="31"/>
        <v>242.42040277777855</v>
      </c>
      <c r="R153" s="235">
        <f t="shared" si="28"/>
        <v>4.0403400462963095</v>
      </c>
      <c r="S153" s="235">
        <f t="shared" si="29"/>
        <v>6.5519027777777783</v>
      </c>
      <c r="T153" s="247">
        <f t="shared" si="20"/>
        <v>10.592242824074088</v>
      </c>
      <c r="U153" s="238">
        <f>SUM(R142:R153)</f>
        <v>55.691173611111275</v>
      </c>
      <c r="V153" s="521"/>
      <c r="W153" s="234" t="s">
        <v>236</v>
      </c>
      <c r="X153" s="235"/>
      <c r="Y153" s="235"/>
      <c r="Z153" s="235"/>
      <c r="AA153" s="247">
        <f t="shared" si="21"/>
        <v>0</v>
      </c>
      <c r="AB153" s="238">
        <f>SUM(Y142:Y153)</f>
        <v>0</v>
      </c>
      <c r="AC153" s="521"/>
      <c r="AD153" s="234" t="s">
        <v>236</v>
      </c>
      <c r="AE153" s="235"/>
      <c r="AF153" s="235"/>
      <c r="AG153" s="235"/>
      <c r="AH153" s="247">
        <f t="shared" si="22"/>
        <v>0</v>
      </c>
      <c r="AI153" s="238">
        <f>SUM(AF142:AF153)</f>
        <v>0</v>
      </c>
      <c r="AJ153" s="208">
        <f>O142</f>
        <v>2033</v>
      </c>
      <c r="AK153" s="240">
        <f>G153+N153+U153+AB153+AI153</f>
        <v>86.759245741695821</v>
      </c>
    </row>
    <row r="154" spans="1:37" x14ac:dyDescent="0.2">
      <c r="A154" s="513">
        <f>A142+1</f>
        <v>2034</v>
      </c>
      <c r="B154" s="234" t="s">
        <v>225</v>
      </c>
      <c r="C154" s="235">
        <f t="shared" si="26"/>
        <v>9.3725462199315466</v>
      </c>
      <c r="D154" s="235">
        <f t="shared" si="23"/>
        <v>0.15620910366552579</v>
      </c>
      <c r="E154" s="235">
        <f t="shared" si="19"/>
        <v>0.8520496563574177</v>
      </c>
      <c r="F154" s="236">
        <f>D154+E154</f>
        <v>1.0082587600229436</v>
      </c>
      <c r="G154" s="239"/>
      <c r="H154" s="512">
        <f>H142+1</f>
        <v>2034</v>
      </c>
      <c r="I154" s="234" t="s">
        <v>225</v>
      </c>
      <c r="J154" s="235">
        <f t="shared" si="27"/>
        <v>91.089400000001362</v>
      </c>
      <c r="K154" s="235">
        <f t="shared" si="24"/>
        <v>1.5181566666666895</v>
      </c>
      <c r="L154" s="235">
        <f t="shared" si="25"/>
        <v>7.5907833333333334</v>
      </c>
      <c r="M154" s="247">
        <f t="shared" ref="M154:M165" si="33">K154+L154</f>
        <v>9.1089400000000236</v>
      </c>
      <c r="N154" s="239"/>
      <c r="O154" s="519">
        <f>O142+1</f>
        <v>2034</v>
      </c>
      <c r="P154" s="234" t="s">
        <v>225</v>
      </c>
      <c r="Q154" s="235">
        <f t="shared" si="31"/>
        <v>235.86850000000078</v>
      </c>
      <c r="R154" s="235">
        <f t="shared" si="28"/>
        <v>3.9311416666666799</v>
      </c>
      <c r="S154" s="235">
        <f t="shared" si="29"/>
        <v>6.5519027777777783</v>
      </c>
      <c r="T154" s="247">
        <f t="shared" si="20"/>
        <v>10.483044444444458</v>
      </c>
      <c r="U154" s="237"/>
      <c r="V154" s="519">
        <v>2033</v>
      </c>
      <c r="W154" s="234" t="s">
        <v>225</v>
      </c>
      <c r="X154" s="235">
        <f>X7-X8</f>
        <v>0</v>
      </c>
      <c r="Y154" s="235">
        <f>X154*$Y$7/12</f>
        <v>0</v>
      </c>
      <c r="Z154" s="235">
        <f t="shared" ref="Z154:Z165" si="34">$X$7/Y$8</f>
        <v>0</v>
      </c>
      <c r="AA154" s="247">
        <f t="shared" si="21"/>
        <v>0</v>
      </c>
      <c r="AB154" s="237"/>
      <c r="AC154" s="519">
        <v>2033</v>
      </c>
      <c r="AD154" s="234" t="s">
        <v>225</v>
      </c>
      <c r="AE154" s="235"/>
      <c r="AF154" s="235">
        <f>AE154*$Y$7/12</f>
        <v>0</v>
      </c>
      <c r="AG154" s="235"/>
      <c r="AH154" s="247">
        <f t="shared" si="22"/>
        <v>0</v>
      </c>
      <c r="AI154" s="237"/>
      <c r="AK154" s="240"/>
    </row>
    <row r="155" spans="1:37" x14ac:dyDescent="0.2">
      <c r="A155" s="514"/>
      <c r="B155" s="234" t="s">
        <v>226</v>
      </c>
      <c r="C155" s="235">
        <f t="shared" si="26"/>
        <v>8.5204965635741292</v>
      </c>
      <c r="D155" s="235">
        <f t="shared" si="23"/>
        <v>0.14200827605956881</v>
      </c>
      <c r="E155" s="235">
        <f t="shared" si="19"/>
        <v>0.8520496563574177</v>
      </c>
      <c r="F155" s="236">
        <f>D155+E155</f>
        <v>0.99405793241698648</v>
      </c>
      <c r="G155" s="239"/>
      <c r="H155" s="512"/>
      <c r="I155" s="234" t="s">
        <v>226</v>
      </c>
      <c r="J155" s="235">
        <f t="shared" si="27"/>
        <v>83.498616666668028</v>
      </c>
      <c r="K155" s="235">
        <f t="shared" si="24"/>
        <v>1.3916436111111337</v>
      </c>
      <c r="L155" s="235">
        <f t="shared" si="25"/>
        <v>7.5907833333333334</v>
      </c>
      <c r="M155" s="247">
        <f t="shared" si="33"/>
        <v>8.9824269444444678</v>
      </c>
      <c r="N155" s="239"/>
      <c r="O155" s="520"/>
      <c r="P155" s="234" t="s">
        <v>226</v>
      </c>
      <c r="Q155" s="235">
        <f t="shared" si="31"/>
        <v>229.31659722222301</v>
      </c>
      <c r="R155" s="235">
        <f t="shared" si="28"/>
        <v>3.8219432870370507</v>
      </c>
      <c r="S155" s="235">
        <f t="shared" si="29"/>
        <v>6.5519027777777783</v>
      </c>
      <c r="T155" s="247">
        <f t="shared" si="20"/>
        <v>10.373846064814829</v>
      </c>
      <c r="U155" s="238"/>
      <c r="V155" s="520"/>
      <c r="W155" s="234" t="s">
        <v>226</v>
      </c>
      <c r="X155" s="235">
        <f>X154-Z154</f>
        <v>0</v>
      </c>
      <c r="Y155" s="235">
        <f t="shared" ref="Y155:Y218" si="35">X155*$Y$7/12</f>
        <v>0</v>
      </c>
      <c r="Z155" s="235">
        <f t="shared" si="34"/>
        <v>0</v>
      </c>
      <c r="AA155" s="247">
        <f t="shared" si="21"/>
        <v>0</v>
      </c>
      <c r="AB155" s="238"/>
      <c r="AC155" s="520"/>
      <c r="AD155" s="234" t="s">
        <v>226</v>
      </c>
      <c r="AE155" s="235"/>
      <c r="AF155" s="235">
        <f t="shared" ref="AF155:AF218" si="36">AE155*$Y$7/12</f>
        <v>0</v>
      </c>
      <c r="AG155" s="235"/>
      <c r="AH155" s="247">
        <f t="shared" si="22"/>
        <v>0</v>
      </c>
      <c r="AI155" s="238"/>
      <c r="AK155" s="240"/>
    </row>
    <row r="156" spans="1:37" x14ac:dyDescent="0.2">
      <c r="A156" s="514"/>
      <c r="B156" s="234" t="s">
        <v>227</v>
      </c>
      <c r="C156" s="235">
        <f t="shared" si="26"/>
        <v>7.6684469072167118</v>
      </c>
      <c r="D156" s="235">
        <f t="shared" si="23"/>
        <v>0.12780744845361189</v>
      </c>
      <c r="E156" s="235">
        <f t="shared" si="19"/>
        <v>0.8520496563574177</v>
      </c>
      <c r="F156" s="236">
        <f>D156+E156</f>
        <v>0.97985710481102961</v>
      </c>
      <c r="G156" s="239"/>
      <c r="H156" s="512"/>
      <c r="I156" s="234" t="s">
        <v>227</v>
      </c>
      <c r="J156" s="235">
        <f t="shared" si="27"/>
        <v>75.907833333334693</v>
      </c>
      <c r="K156" s="235">
        <f t="shared" si="24"/>
        <v>1.2651305555555783</v>
      </c>
      <c r="L156" s="235">
        <f t="shared" si="25"/>
        <v>7.5907833333333334</v>
      </c>
      <c r="M156" s="247">
        <f t="shared" si="33"/>
        <v>8.855913888888912</v>
      </c>
      <c r="N156" s="239"/>
      <c r="O156" s="520"/>
      <c r="P156" s="234" t="s">
        <v>227</v>
      </c>
      <c r="Q156" s="235">
        <f t="shared" si="31"/>
        <v>222.76469444444524</v>
      </c>
      <c r="R156" s="235">
        <f t="shared" si="28"/>
        <v>3.712744907407421</v>
      </c>
      <c r="S156" s="235">
        <f t="shared" si="29"/>
        <v>6.5519027777777783</v>
      </c>
      <c r="T156" s="247">
        <f t="shared" si="20"/>
        <v>10.264647685185199</v>
      </c>
      <c r="U156" s="238"/>
      <c r="V156" s="520"/>
      <c r="W156" s="234" t="s">
        <v>227</v>
      </c>
      <c r="X156" s="235">
        <f t="shared" ref="X156:X219" si="37">X155-Z155</f>
        <v>0</v>
      </c>
      <c r="Y156" s="235">
        <f t="shared" si="35"/>
        <v>0</v>
      </c>
      <c r="Z156" s="235">
        <f t="shared" si="34"/>
        <v>0</v>
      </c>
      <c r="AA156" s="247">
        <f t="shared" si="21"/>
        <v>0</v>
      </c>
      <c r="AB156" s="238"/>
      <c r="AC156" s="520"/>
      <c r="AD156" s="234" t="s">
        <v>227</v>
      </c>
      <c r="AE156" s="235"/>
      <c r="AF156" s="235">
        <f t="shared" si="36"/>
        <v>0</v>
      </c>
      <c r="AG156" s="235"/>
      <c r="AH156" s="247">
        <f t="shared" si="22"/>
        <v>0</v>
      </c>
      <c r="AI156" s="238"/>
      <c r="AK156" s="240"/>
    </row>
    <row r="157" spans="1:37" x14ac:dyDescent="0.2">
      <c r="A157" s="514"/>
      <c r="B157" s="234" t="s">
        <v>228</v>
      </c>
      <c r="C157" s="235">
        <f t="shared" si="26"/>
        <v>6.8163972508592945</v>
      </c>
      <c r="D157" s="235">
        <f t="shared" si="23"/>
        <v>0.11360662084765492</v>
      </c>
      <c r="E157" s="235">
        <f t="shared" ref="E157:E164" si="38">$C$68/($D$8-23)</f>
        <v>0.8520496563574177</v>
      </c>
      <c r="F157" s="236">
        <f t="shared" ref="F157:F163" si="39">D157+E157</f>
        <v>0.96565627720507263</v>
      </c>
      <c r="G157" s="239"/>
      <c r="H157" s="512"/>
      <c r="I157" s="234" t="s">
        <v>228</v>
      </c>
      <c r="J157" s="235">
        <f t="shared" si="27"/>
        <v>68.317050000001359</v>
      </c>
      <c r="K157" s="235">
        <f t="shared" si="24"/>
        <v>1.1386175000000227</v>
      </c>
      <c r="L157" s="235">
        <f t="shared" si="25"/>
        <v>7.5907833333333334</v>
      </c>
      <c r="M157" s="247">
        <f t="shared" si="33"/>
        <v>8.7294008333333561</v>
      </c>
      <c r="N157" s="239"/>
      <c r="O157" s="520"/>
      <c r="P157" s="234" t="s">
        <v>228</v>
      </c>
      <c r="Q157" s="235">
        <f t="shared" si="31"/>
        <v>216.21279166666747</v>
      </c>
      <c r="R157" s="235">
        <f t="shared" si="28"/>
        <v>3.6035465277777914</v>
      </c>
      <c r="S157" s="235">
        <f t="shared" si="29"/>
        <v>6.5519027777777783</v>
      </c>
      <c r="T157" s="247">
        <f t="shared" si="20"/>
        <v>10.155449305555569</v>
      </c>
      <c r="U157" s="238"/>
      <c r="V157" s="520"/>
      <c r="W157" s="234" t="s">
        <v>228</v>
      </c>
      <c r="X157" s="235">
        <f t="shared" si="37"/>
        <v>0</v>
      </c>
      <c r="Y157" s="235">
        <f t="shared" si="35"/>
        <v>0</v>
      </c>
      <c r="Z157" s="235">
        <f t="shared" si="34"/>
        <v>0</v>
      </c>
      <c r="AA157" s="247">
        <f t="shared" si="21"/>
        <v>0</v>
      </c>
      <c r="AB157" s="238"/>
      <c r="AC157" s="520"/>
      <c r="AD157" s="234" t="s">
        <v>228</v>
      </c>
      <c r="AE157" s="235"/>
      <c r="AF157" s="235">
        <f t="shared" si="36"/>
        <v>0</v>
      </c>
      <c r="AG157" s="235"/>
      <c r="AH157" s="247">
        <f t="shared" si="22"/>
        <v>0</v>
      </c>
      <c r="AI157" s="238"/>
      <c r="AK157" s="240"/>
    </row>
    <row r="158" spans="1:37" x14ac:dyDescent="0.2">
      <c r="A158" s="514"/>
      <c r="B158" s="234" t="s">
        <v>229</v>
      </c>
      <c r="C158" s="235">
        <f t="shared" si="26"/>
        <v>5.9643475945018771</v>
      </c>
      <c r="D158" s="235">
        <f t="shared" si="23"/>
        <v>9.9405793241697959E-2</v>
      </c>
      <c r="E158" s="235">
        <f t="shared" si="38"/>
        <v>0.8520496563574177</v>
      </c>
      <c r="F158" s="236">
        <f t="shared" si="39"/>
        <v>0.95145544959911565</v>
      </c>
      <c r="G158" s="239"/>
      <c r="H158" s="512"/>
      <c r="I158" s="234" t="s">
        <v>229</v>
      </c>
      <c r="J158" s="235">
        <f t="shared" si="27"/>
        <v>60.726266666668025</v>
      </c>
      <c r="K158" s="235">
        <f t="shared" si="24"/>
        <v>1.0121044444444671</v>
      </c>
      <c r="L158" s="235">
        <f t="shared" si="25"/>
        <v>7.5907833333333334</v>
      </c>
      <c r="M158" s="247">
        <f t="shared" si="33"/>
        <v>8.6028877777778003</v>
      </c>
      <c r="N158" s="239"/>
      <c r="O158" s="520"/>
      <c r="P158" s="234" t="s">
        <v>229</v>
      </c>
      <c r="Q158" s="235">
        <f t="shared" si="31"/>
        <v>209.6608888888897</v>
      </c>
      <c r="R158" s="235">
        <f t="shared" si="28"/>
        <v>3.4943481481481622</v>
      </c>
      <c r="S158" s="235">
        <f t="shared" si="29"/>
        <v>6.5519027777777783</v>
      </c>
      <c r="T158" s="247">
        <f t="shared" si="20"/>
        <v>10.046250925925941</v>
      </c>
      <c r="U158" s="238"/>
      <c r="V158" s="520"/>
      <c r="W158" s="234" t="s">
        <v>229</v>
      </c>
      <c r="X158" s="235">
        <f t="shared" si="37"/>
        <v>0</v>
      </c>
      <c r="Y158" s="235">
        <f t="shared" si="35"/>
        <v>0</v>
      </c>
      <c r="Z158" s="235">
        <f t="shared" si="34"/>
        <v>0</v>
      </c>
      <c r="AA158" s="247">
        <f t="shared" si="21"/>
        <v>0</v>
      </c>
      <c r="AB158" s="238"/>
      <c r="AC158" s="520"/>
      <c r="AD158" s="234" t="s">
        <v>229</v>
      </c>
      <c r="AE158" s="235"/>
      <c r="AF158" s="235">
        <f t="shared" si="36"/>
        <v>0</v>
      </c>
      <c r="AG158" s="235"/>
      <c r="AH158" s="247">
        <f t="shared" si="22"/>
        <v>0</v>
      </c>
      <c r="AI158" s="238"/>
      <c r="AK158" s="240"/>
    </row>
    <row r="159" spans="1:37" x14ac:dyDescent="0.2">
      <c r="A159" s="514"/>
      <c r="B159" s="234" t="s">
        <v>230</v>
      </c>
      <c r="C159" s="235">
        <f t="shared" si="26"/>
        <v>5.1122979381444598</v>
      </c>
      <c r="D159" s="235">
        <f t="shared" si="23"/>
        <v>8.5204965635740995E-2</v>
      </c>
      <c r="E159" s="235">
        <f t="shared" si="38"/>
        <v>0.8520496563574177</v>
      </c>
      <c r="F159" s="236">
        <f t="shared" si="39"/>
        <v>0.93725462199315868</v>
      </c>
      <c r="G159" s="239"/>
      <c r="H159" s="512"/>
      <c r="I159" s="234" t="s">
        <v>230</v>
      </c>
      <c r="J159" s="235">
        <f t="shared" si="27"/>
        <v>53.13548333333469</v>
      </c>
      <c r="K159" s="235">
        <f t="shared" si="24"/>
        <v>0.88559138888891153</v>
      </c>
      <c r="L159" s="235">
        <f t="shared" si="25"/>
        <v>7.5907833333333334</v>
      </c>
      <c r="M159" s="247">
        <f t="shared" si="33"/>
        <v>8.4763747222222445</v>
      </c>
      <c r="N159" s="239"/>
      <c r="O159" s="520"/>
      <c r="P159" s="234" t="s">
        <v>230</v>
      </c>
      <c r="Q159" s="235">
        <f t="shared" si="31"/>
        <v>203.10898611111193</v>
      </c>
      <c r="R159" s="235">
        <f t="shared" si="28"/>
        <v>3.3851497685185326</v>
      </c>
      <c r="S159" s="235">
        <f t="shared" si="29"/>
        <v>6.5519027777777783</v>
      </c>
      <c r="T159" s="247">
        <f t="shared" si="20"/>
        <v>9.9370525462963109</v>
      </c>
      <c r="U159" s="238"/>
      <c r="V159" s="520"/>
      <c r="W159" s="234" t="s">
        <v>230</v>
      </c>
      <c r="X159" s="235">
        <f t="shared" si="37"/>
        <v>0</v>
      </c>
      <c r="Y159" s="235">
        <f t="shared" si="35"/>
        <v>0</v>
      </c>
      <c r="Z159" s="235">
        <f t="shared" si="34"/>
        <v>0</v>
      </c>
      <c r="AA159" s="247">
        <f t="shared" si="21"/>
        <v>0</v>
      </c>
      <c r="AB159" s="238"/>
      <c r="AC159" s="520"/>
      <c r="AD159" s="234" t="s">
        <v>230</v>
      </c>
      <c r="AE159" s="235"/>
      <c r="AF159" s="235">
        <f t="shared" si="36"/>
        <v>0</v>
      </c>
      <c r="AG159" s="235"/>
      <c r="AH159" s="247">
        <f t="shared" si="22"/>
        <v>0</v>
      </c>
      <c r="AI159" s="238"/>
      <c r="AK159" s="240"/>
    </row>
    <row r="160" spans="1:37" x14ac:dyDescent="0.2">
      <c r="A160" s="514"/>
      <c r="B160" s="234" t="s">
        <v>231</v>
      </c>
      <c r="C160" s="235">
        <f t="shared" si="26"/>
        <v>4.2602482817870424</v>
      </c>
      <c r="D160" s="235">
        <f t="shared" si="23"/>
        <v>7.1004138029784045E-2</v>
      </c>
      <c r="E160" s="235">
        <f t="shared" si="38"/>
        <v>0.8520496563574177</v>
      </c>
      <c r="F160" s="236">
        <f t="shared" si="39"/>
        <v>0.9230537943872017</v>
      </c>
      <c r="G160" s="239"/>
      <c r="H160" s="512"/>
      <c r="I160" s="234" t="s">
        <v>231</v>
      </c>
      <c r="J160" s="235">
        <f t="shared" si="27"/>
        <v>45.544700000001356</v>
      </c>
      <c r="K160" s="235">
        <f t="shared" si="24"/>
        <v>0.75907833333335606</v>
      </c>
      <c r="L160" s="235">
        <f t="shared" si="25"/>
        <v>7.5907833333333334</v>
      </c>
      <c r="M160" s="247">
        <f t="shared" si="33"/>
        <v>8.3498616666666887</v>
      </c>
      <c r="N160" s="239"/>
      <c r="O160" s="520"/>
      <c r="P160" s="234" t="s">
        <v>231</v>
      </c>
      <c r="Q160" s="235">
        <f t="shared" si="31"/>
        <v>196.55708333333416</v>
      </c>
      <c r="R160" s="235">
        <f t="shared" si="28"/>
        <v>3.2759513888889029</v>
      </c>
      <c r="S160" s="235">
        <f t="shared" si="29"/>
        <v>6.5519027777777783</v>
      </c>
      <c r="T160" s="247">
        <f t="shared" si="20"/>
        <v>9.8278541666666808</v>
      </c>
      <c r="U160" s="238"/>
      <c r="V160" s="520"/>
      <c r="W160" s="234" t="s">
        <v>231</v>
      </c>
      <c r="X160" s="235">
        <f t="shared" si="37"/>
        <v>0</v>
      </c>
      <c r="Y160" s="235">
        <f t="shared" si="35"/>
        <v>0</v>
      </c>
      <c r="Z160" s="235">
        <f t="shared" si="34"/>
        <v>0</v>
      </c>
      <c r="AA160" s="247">
        <f t="shared" si="21"/>
        <v>0</v>
      </c>
      <c r="AB160" s="238"/>
      <c r="AC160" s="520"/>
      <c r="AD160" s="234" t="s">
        <v>231</v>
      </c>
      <c r="AE160" s="235"/>
      <c r="AF160" s="235">
        <f t="shared" si="36"/>
        <v>0</v>
      </c>
      <c r="AG160" s="235"/>
      <c r="AH160" s="247">
        <f t="shared" si="22"/>
        <v>0</v>
      </c>
      <c r="AI160" s="238"/>
      <c r="AK160" s="240"/>
    </row>
    <row r="161" spans="1:37" x14ac:dyDescent="0.2">
      <c r="A161" s="514"/>
      <c r="B161" s="234" t="s">
        <v>232</v>
      </c>
      <c r="C161" s="235">
        <f t="shared" si="26"/>
        <v>3.4081986254296246</v>
      </c>
      <c r="D161" s="235">
        <f t="shared" si="23"/>
        <v>5.680331042382708E-2</v>
      </c>
      <c r="E161" s="235">
        <f t="shared" si="38"/>
        <v>0.8520496563574177</v>
      </c>
      <c r="F161" s="236">
        <f t="shared" si="39"/>
        <v>0.90885296678124483</v>
      </c>
      <c r="G161" s="239"/>
      <c r="H161" s="512"/>
      <c r="I161" s="234" t="s">
        <v>232</v>
      </c>
      <c r="J161" s="235">
        <f t="shared" si="27"/>
        <v>37.953916666668022</v>
      </c>
      <c r="K161" s="235">
        <f t="shared" si="24"/>
        <v>0.63256527777780036</v>
      </c>
      <c r="L161" s="235">
        <f t="shared" si="25"/>
        <v>7.5907833333333334</v>
      </c>
      <c r="M161" s="247">
        <f t="shared" si="33"/>
        <v>8.2233486111111347</v>
      </c>
      <c r="N161" s="239"/>
      <c r="O161" s="520"/>
      <c r="P161" s="234" t="s">
        <v>232</v>
      </c>
      <c r="Q161" s="235">
        <f t="shared" si="31"/>
        <v>190.00518055555639</v>
      </c>
      <c r="R161" s="235">
        <f t="shared" si="28"/>
        <v>3.1667530092592737</v>
      </c>
      <c r="S161" s="235">
        <f t="shared" si="29"/>
        <v>6.5519027777777783</v>
      </c>
      <c r="T161" s="247">
        <f t="shared" si="20"/>
        <v>9.7186557870370525</v>
      </c>
      <c r="U161" s="238"/>
      <c r="V161" s="520"/>
      <c r="W161" s="234" t="s">
        <v>232</v>
      </c>
      <c r="X161" s="235">
        <f t="shared" si="37"/>
        <v>0</v>
      </c>
      <c r="Y161" s="235">
        <f t="shared" si="35"/>
        <v>0</v>
      </c>
      <c r="Z161" s="235">
        <f t="shared" si="34"/>
        <v>0</v>
      </c>
      <c r="AA161" s="247">
        <f t="shared" si="21"/>
        <v>0</v>
      </c>
      <c r="AB161" s="238"/>
      <c r="AC161" s="520"/>
      <c r="AD161" s="234" t="s">
        <v>232</v>
      </c>
      <c r="AE161" s="235"/>
      <c r="AF161" s="235">
        <f t="shared" si="36"/>
        <v>0</v>
      </c>
      <c r="AG161" s="235"/>
      <c r="AH161" s="247">
        <f t="shared" si="22"/>
        <v>0</v>
      </c>
      <c r="AI161" s="238"/>
      <c r="AK161" s="240"/>
    </row>
    <row r="162" spans="1:37" x14ac:dyDescent="0.2">
      <c r="A162" s="514"/>
      <c r="B162" s="234" t="s">
        <v>233</v>
      </c>
      <c r="C162" s="235">
        <f t="shared" si="26"/>
        <v>2.5561489690722068</v>
      </c>
      <c r="D162" s="235">
        <f t="shared" si="23"/>
        <v>4.2602482817870109E-2</v>
      </c>
      <c r="E162" s="235">
        <f t="shared" si="38"/>
        <v>0.8520496563574177</v>
      </c>
      <c r="F162" s="236">
        <f t="shared" si="39"/>
        <v>0.89465213917528785</v>
      </c>
      <c r="G162" s="239"/>
      <c r="H162" s="512"/>
      <c r="I162" s="234" t="s">
        <v>233</v>
      </c>
      <c r="J162" s="235">
        <f t="shared" si="27"/>
        <v>30.363133333334687</v>
      </c>
      <c r="K162" s="235">
        <f t="shared" si="24"/>
        <v>0.50605222222224489</v>
      </c>
      <c r="L162" s="235">
        <f t="shared" si="25"/>
        <v>7.5907833333333334</v>
      </c>
      <c r="M162" s="247">
        <f t="shared" si="33"/>
        <v>8.0968355555555789</v>
      </c>
      <c r="N162" s="239"/>
      <c r="O162" s="520"/>
      <c r="P162" s="234" t="s">
        <v>233</v>
      </c>
      <c r="Q162" s="235">
        <f t="shared" si="31"/>
        <v>183.45327777777862</v>
      </c>
      <c r="R162" s="235">
        <f t="shared" si="28"/>
        <v>3.0575546296296441</v>
      </c>
      <c r="S162" s="235">
        <f t="shared" si="29"/>
        <v>6.5519027777777783</v>
      </c>
      <c r="T162" s="247">
        <f t="shared" si="20"/>
        <v>9.6094574074074224</v>
      </c>
      <c r="U162" s="238"/>
      <c r="V162" s="520"/>
      <c r="W162" s="234" t="s">
        <v>233</v>
      </c>
      <c r="X162" s="235">
        <f t="shared" si="37"/>
        <v>0</v>
      </c>
      <c r="Y162" s="235">
        <f t="shared" si="35"/>
        <v>0</v>
      </c>
      <c r="Z162" s="235">
        <f t="shared" si="34"/>
        <v>0</v>
      </c>
      <c r="AA162" s="247">
        <f t="shared" si="21"/>
        <v>0</v>
      </c>
      <c r="AB162" s="238"/>
      <c r="AC162" s="520"/>
      <c r="AD162" s="234" t="s">
        <v>233</v>
      </c>
      <c r="AE162" s="235"/>
      <c r="AF162" s="235">
        <f t="shared" si="36"/>
        <v>0</v>
      </c>
      <c r="AG162" s="235"/>
      <c r="AH162" s="247">
        <f t="shared" si="22"/>
        <v>0</v>
      </c>
      <c r="AI162" s="238"/>
      <c r="AK162" s="240"/>
    </row>
    <row r="163" spans="1:37" x14ac:dyDescent="0.2">
      <c r="A163" s="514"/>
      <c r="B163" s="234" t="s">
        <v>234</v>
      </c>
      <c r="C163" s="235">
        <f t="shared" si="26"/>
        <v>1.704099312714789</v>
      </c>
      <c r="D163" s="235">
        <f t="shared" si="23"/>
        <v>2.8401655211913152E-2</v>
      </c>
      <c r="E163" s="235">
        <f t="shared" si="38"/>
        <v>0.8520496563574177</v>
      </c>
      <c r="F163" s="236">
        <f t="shared" si="39"/>
        <v>0.88045131156933087</v>
      </c>
      <c r="G163" s="239"/>
      <c r="H163" s="512"/>
      <c r="I163" s="234" t="s">
        <v>234</v>
      </c>
      <c r="J163" s="235">
        <f t="shared" si="27"/>
        <v>22.772350000001353</v>
      </c>
      <c r="K163" s="235">
        <f t="shared" si="24"/>
        <v>0.37953916666668924</v>
      </c>
      <c r="L163" s="235">
        <f t="shared" si="25"/>
        <v>7.5907833333333334</v>
      </c>
      <c r="M163" s="247">
        <f t="shared" si="33"/>
        <v>7.9703225000000231</v>
      </c>
      <c r="N163" s="239"/>
      <c r="O163" s="520"/>
      <c r="P163" s="234" t="s">
        <v>234</v>
      </c>
      <c r="Q163" s="235">
        <f t="shared" si="31"/>
        <v>176.90137500000085</v>
      </c>
      <c r="R163" s="235">
        <f t="shared" si="28"/>
        <v>2.9483562500000144</v>
      </c>
      <c r="S163" s="235">
        <f t="shared" si="29"/>
        <v>6.5519027777777783</v>
      </c>
      <c r="T163" s="247">
        <f t="shared" si="20"/>
        <v>9.5002590277777923</v>
      </c>
      <c r="U163" s="238"/>
      <c r="V163" s="520"/>
      <c r="W163" s="234" t="s">
        <v>234</v>
      </c>
      <c r="X163" s="235">
        <f t="shared" si="37"/>
        <v>0</v>
      </c>
      <c r="Y163" s="235">
        <f t="shared" si="35"/>
        <v>0</v>
      </c>
      <c r="Z163" s="235">
        <f t="shared" si="34"/>
        <v>0</v>
      </c>
      <c r="AA163" s="247">
        <f t="shared" si="21"/>
        <v>0</v>
      </c>
      <c r="AB163" s="238"/>
      <c r="AC163" s="520"/>
      <c r="AD163" s="234" t="s">
        <v>234</v>
      </c>
      <c r="AE163" s="235"/>
      <c r="AF163" s="235">
        <f t="shared" si="36"/>
        <v>0</v>
      </c>
      <c r="AG163" s="235"/>
      <c r="AH163" s="247">
        <f t="shared" si="22"/>
        <v>0</v>
      </c>
      <c r="AI163" s="238"/>
      <c r="AK163" s="240"/>
    </row>
    <row r="164" spans="1:37" x14ac:dyDescent="0.2">
      <c r="A164" s="514"/>
      <c r="B164" s="234" t="s">
        <v>235</v>
      </c>
      <c r="C164" s="235">
        <f t="shared" si="26"/>
        <v>0.85204965635737129</v>
      </c>
      <c r="D164" s="235">
        <f t="shared" si="23"/>
        <v>1.4200827605956189E-2</v>
      </c>
      <c r="E164" s="235">
        <f t="shared" si="38"/>
        <v>0.8520496563574177</v>
      </c>
      <c r="F164" s="236">
        <f>D164+E164</f>
        <v>0.8662504839633739</v>
      </c>
      <c r="G164" s="239"/>
      <c r="H164" s="512"/>
      <c r="I164" s="234" t="s">
        <v>235</v>
      </c>
      <c r="J164" s="235">
        <f t="shared" si="27"/>
        <v>15.181566666668019</v>
      </c>
      <c r="K164" s="235">
        <f t="shared" si="24"/>
        <v>0.25302611111113366</v>
      </c>
      <c r="L164" s="235">
        <f t="shared" si="25"/>
        <v>7.5907833333333334</v>
      </c>
      <c r="M164" s="247">
        <f t="shared" si="33"/>
        <v>7.8438094444444673</v>
      </c>
      <c r="N164" s="239"/>
      <c r="O164" s="520"/>
      <c r="P164" s="234" t="s">
        <v>235</v>
      </c>
      <c r="Q164" s="235">
        <f t="shared" si="31"/>
        <v>170.34947222222308</v>
      </c>
      <c r="R164" s="235">
        <f t="shared" si="28"/>
        <v>2.8391578703703853</v>
      </c>
      <c r="S164" s="235">
        <f t="shared" si="29"/>
        <v>6.5519027777777783</v>
      </c>
      <c r="T164" s="247">
        <f t="shared" ref="T164:T201" si="40">R164+S164</f>
        <v>9.391060648148164</v>
      </c>
      <c r="U164" s="238"/>
      <c r="V164" s="520"/>
      <c r="W164" s="234" t="s">
        <v>235</v>
      </c>
      <c r="X164" s="235">
        <f t="shared" si="37"/>
        <v>0</v>
      </c>
      <c r="Y164" s="235">
        <f t="shared" si="35"/>
        <v>0</v>
      </c>
      <c r="Z164" s="235">
        <f t="shared" si="34"/>
        <v>0</v>
      </c>
      <c r="AA164" s="247">
        <f t="shared" ref="AA164:AA227" si="41">Y164+Z164</f>
        <v>0</v>
      </c>
      <c r="AB164" s="238"/>
      <c r="AC164" s="520"/>
      <c r="AD164" s="234" t="s">
        <v>235</v>
      </c>
      <c r="AE164" s="235"/>
      <c r="AF164" s="235">
        <f t="shared" si="36"/>
        <v>0</v>
      </c>
      <c r="AG164" s="235"/>
      <c r="AH164" s="247">
        <f t="shared" ref="AH164:AH227" si="42">AF164+AG164</f>
        <v>0</v>
      </c>
      <c r="AI164" s="238"/>
      <c r="AK164" s="240"/>
    </row>
    <row r="165" spans="1:37" x14ac:dyDescent="0.2">
      <c r="A165" s="515"/>
      <c r="B165" s="234" t="s">
        <v>236</v>
      </c>
      <c r="C165" s="235"/>
      <c r="D165" s="235"/>
      <c r="E165" s="235"/>
      <c r="F165" s="236">
        <f>D165+E165</f>
        <v>0</v>
      </c>
      <c r="G165" s="239">
        <f>SUM(D154:D165)</f>
        <v>0.9372546219931509</v>
      </c>
      <c r="H165" s="512"/>
      <c r="I165" s="234" t="s">
        <v>236</v>
      </c>
      <c r="J165" s="235">
        <f t="shared" si="27"/>
        <v>7.5907833333346852</v>
      </c>
      <c r="K165" s="235">
        <f t="shared" si="24"/>
        <v>0.1265130555555781</v>
      </c>
      <c r="L165" s="235">
        <f t="shared" si="25"/>
        <v>7.5907833333333334</v>
      </c>
      <c r="M165" s="247">
        <f t="shared" si="33"/>
        <v>7.7172963888889115</v>
      </c>
      <c r="N165" s="239">
        <f>SUM(K154:K165)</f>
        <v>9.8680183333336036</v>
      </c>
      <c r="O165" s="521"/>
      <c r="P165" s="234" t="s">
        <v>236</v>
      </c>
      <c r="Q165" s="235">
        <f t="shared" si="31"/>
        <v>163.79756944444532</v>
      </c>
      <c r="R165" s="235">
        <f t="shared" si="28"/>
        <v>2.7299594907407556</v>
      </c>
      <c r="S165" s="235">
        <f t="shared" si="29"/>
        <v>6.5519027777777783</v>
      </c>
      <c r="T165" s="247">
        <f t="shared" si="40"/>
        <v>9.2818622685185339</v>
      </c>
      <c r="U165" s="238">
        <f>SUM(R154:R165)</f>
        <v>39.966606944444614</v>
      </c>
      <c r="V165" s="521"/>
      <c r="W165" s="234" t="s">
        <v>236</v>
      </c>
      <c r="X165" s="235">
        <f t="shared" si="37"/>
        <v>0</v>
      </c>
      <c r="Y165" s="235">
        <f t="shared" si="35"/>
        <v>0</v>
      </c>
      <c r="Z165" s="235">
        <f t="shared" si="34"/>
        <v>0</v>
      </c>
      <c r="AA165" s="247">
        <f t="shared" si="41"/>
        <v>0</v>
      </c>
      <c r="AB165" s="238">
        <f>SUM(Y154:Y165)</f>
        <v>0</v>
      </c>
      <c r="AC165" s="521"/>
      <c r="AD165" s="234" t="s">
        <v>236</v>
      </c>
      <c r="AE165" s="235"/>
      <c r="AF165" s="235">
        <f t="shared" si="36"/>
        <v>0</v>
      </c>
      <c r="AG165" s="235"/>
      <c r="AH165" s="247">
        <f t="shared" si="42"/>
        <v>0</v>
      </c>
      <c r="AI165" s="238">
        <f>SUM(AF154:AF165)</f>
        <v>0</v>
      </c>
      <c r="AJ165" s="208">
        <f>O154</f>
        <v>2034</v>
      </c>
      <c r="AK165" s="240">
        <f>G165+N165+U165+AB165+AI165</f>
        <v>50.771879899771371</v>
      </c>
    </row>
    <row r="166" spans="1:37" x14ac:dyDescent="0.2">
      <c r="A166" s="248"/>
      <c r="B166" s="234"/>
      <c r="C166" s="235"/>
      <c r="D166" s="235"/>
      <c r="E166" s="235"/>
      <c r="F166" s="236"/>
      <c r="G166" s="239"/>
      <c r="H166" s="248"/>
      <c r="I166" s="234"/>
      <c r="J166" s="235"/>
      <c r="K166" s="235"/>
      <c r="L166" s="235"/>
      <c r="M166" s="247"/>
      <c r="N166" s="239"/>
      <c r="O166" s="519">
        <f>O154+1</f>
        <v>2035</v>
      </c>
      <c r="P166" s="234" t="s">
        <v>225</v>
      </c>
      <c r="Q166" s="235">
        <f t="shared" si="31"/>
        <v>157.24566666666755</v>
      </c>
      <c r="R166" s="235">
        <f t="shared" si="28"/>
        <v>2.620761111111126</v>
      </c>
      <c r="S166" s="235">
        <f t="shared" si="29"/>
        <v>6.5519027777777783</v>
      </c>
      <c r="T166" s="247">
        <f t="shared" si="40"/>
        <v>9.1726638888889038</v>
      </c>
      <c r="U166" s="237"/>
      <c r="V166" s="519">
        <v>2034</v>
      </c>
      <c r="W166" s="234" t="s">
        <v>225</v>
      </c>
      <c r="X166" s="235">
        <f t="shared" si="37"/>
        <v>0</v>
      </c>
      <c r="Y166" s="235">
        <f t="shared" si="35"/>
        <v>0</v>
      </c>
      <c r="Z166" s="235">
        <f>$X$7/Y$8</f>
        <v>0</v>
      </c>
      <c r="AA166" s="247">
        <f t="shared" si="41"/>
        <v>0</v>
      </c>
      <c r="AB166" s="237"/>
      <c r="AC166" s="519">
        <v>2034</v>
      </c>
      <c r="AD166" s="234" t="s">
        <v>225</v>
      </c>
      <c r="AE166" s="235"/>
      <c r="AF166" s="235">
        <f t="shared" si="36"/>
        <v>0</v>
      </c>
      <c r="AG166" s="235"/>
      <c r="AH166" s="247">
        <f t="shared" si="42"/>
        <v>0</v>
      </c>
      <c r="AI166" s="237"/>
      <c r="AK166" s="240"/>
    </row>
    <row r="167" spans="1:37" x14ac:dyDescent="0.2">
      <c r="A167" s="248"/>
      <c r="B167" s="234"/>
      <c r="C167" s="235"/>
      <c r="D167" s="235"/>
      <c r="E167" s="235"/>
      <c r="F167" s="236"/>
      <c r="G167" s="239"/>
      <c r="H167" s="248"/>
      <c r="I167" s="234"/>
      <c r="J167" s="235"/>
      <c r="K167" s="235"/>
      <c r="L167" s="235"/>
      <c r="M167" s="236"/>
      <c r="N167" s="239"/>
      <c r="O167" s="520"/>
      <c r="P167" s="234" t="s">
        <v>226</v>
      </c>
      <c r="Q167" s="235">
        <f t="shared" si="31"/>
        <v>150.69376388888978</v>
      </c>
      <c r="R167" s="235">
        <f t="shared" si="28"/>
        <v>2.5115627314814963</v>
      </c>
      <c r="S167" s="235">
        <f t="shared" si="29"/>
        <v>6.5519027777777783</v>
      </c>
      <c r="T167" s="247">
        <f t="shared" si="40"/>
        <v>9.0634655092592737</v>
      </c>
      <c r="U167" s="238"/>
      <c r="V167" s="520"/>
      <c r="W167" s="234" t="s">
        <v>226</v>
      </c>
      <c r="X167" s="235">
        <f t="shared" si="37"/>
        <v>0</v>
      </c>
      <c r="Y167" s="235">
        <f t="shared" si="35"/>
        <v>0</v>
      </c>
      <c r="Z167" s="235">
        <f t="shared" ref="Z167:Z230" si="43">$X$7/120</f>
        <v>0</v>
      </c>
      <c r="AA167" s="247">
        <f t="shared" si="41"/>
        <v>0</v>
      </c>
      <c r="AB167" s="238"/>
      <c r="AC167" s="520"/>
      <c r="AD167" s="234" t="s">
        <v>226</v>
      </c>
      <c r="AE167" s="235"/>
      <c r="AF167" s="235">
        <f t="shared" si="36"/>
        <v>0</v>
      </c>
      <c r="AG167" s="235"/>
      <c r="AH167" s="247">
        <f t="shared" si="42"/>
        <v>0</v>
      </c>
      <c r="AI167" s="238"/>
      <c r="AK167" s="240"/>
    </row>
    <row r="168" spans="1:37" x14ac:dyDescent="0.2">
      <c r="A168" s="248"/>
      <c r="B168" s="234"/>
      <c r="C168" s="235"/>
      <c r="D168" s="235"/>
      <c r="E168" s="235"/>
      <c r="F168" s="236"/>
      <c r="G168" s="239"/>
      <c r="H168" s="248"/>
      <c r="I168" s="234"/>
      <c r="J168" s="235"/>
      <c r="K168" s="235"/>
      <c r="L168" s="235"/>
      <c r="M168" s="236"/>
      <c r="N168" s="239"/>
      <c r="O168" s="520"/>
      <c r="P168" s="234" t="s">
        <v>227</v>
      </c>
      <c r="Q168" s="235">
        <f t="shared" si="31"/>
        <v>144.14186111111201</v>
      </c>
      <c r="R168" s="235">
        <f t="shared" si="28"/>
        <v>2.4023643518518667</v>
      </c>
      <c r="S168" s="235">
        <f t="shared" si="29"/>
        <v>6.5519027777777783</v>
      </c>
      <c r="T168" s="247">
        <f t="shared" si="40"/>
        <v>8.9542671296296454</v>
      </c>
      <c r="U168" s="238"/>
      <c r="V168" s="520"/>
      <c r="W168" s="234" t="s">
        <v>227</v>
      </c>
      <c r="X168" s="235">
        <f t="shared" si="37"/>
        <v>0</v>
      </c>
      <c r="Y168" s="235">
        <f t="shared" si="35"/>
        <v>0</v>
      </c>
      <c r="Z168" s="235">
        <f t="shared" si="43"/>
        <v>0</v>
      </c>
      <c r="AA168" s="247">
        <f t="shared" si="41"/>
        <v>0</v>
      </c>
      <c r="AB168" s="238"/>
      <c r="AC168" s="520"/>
      <c r="AD168" s="234" t="s">
        <v>227</v>
      </c>
      <c r="AE168" s="235"/>
      <c r="AF168" s="235">
        <f t="shared" si="36"/>
        <v>0</v>
      </c>
      <c r="AG168" s="235"/>
      <c r="AH168" s="247">
        <f t="shared" si="42"/>
        <v>0</v>
      </c>
      <c r="AI168" s="238"/>
      <c r="AK168" s="240"/>
    </row>
    <row r="169" spans="1:37" x14ac:dyDescent="0.2">
      <c r="A169" s="248"/>
      <c r="B169" s="234"/>
      <c r="C169" s="235"/>
      <c r="D169" s="235"/>
      <c r="E169" s="235"/>
      <c r="F169" s="236"/>
      <c r="G169" s="239"/>
      <c r="H169" s="248"/>
      <c r="I169" s="234"/>
      <c r="J169" s="235"/>
      <c r="K169" s="235"/>
      <c r="L169" s="235"/>
      <c r="M169" s="236"/>
      <c r="N169" s="239"/>
      <c r="O169" s="520"/>
      <c r="P169" s="234" t="s">
        <v>228</v>
      </c>
      <c r="Q169" s="235">
        <f t="shared" si="31"/>
        <v>137.58995833333424</v>
      </c>
      <c r="R169" s="235">
        <f t="shared" si="28"/>
        <v>2.2931659722222375</v>
      </c>
      <c r="S169" s="235">
        <f t="shared" si="29"/>
        <v>6.5519027777777783</v>
      </c>
      <c r="T169" s="247">
        <f t="shared" si="40"/>
        <v>8.8450687500000154</v>
      </c>
      <c r="U169" s="238"/>
      <c r="V169" s="520"/>
      <c r="W169" s="234" t="s">
        <v>228</v>
      </c>
      <c r="X169" s="235">
        <f t="shared" si="37"/>
        <v>0</v>
      </c>
      <c r="Y169" s="235">
        <f t="shared" si="35"/>
        <v>0</v>
      </c>
      <c r="Z169" s="235">
        <f t="shared" si="43"/>
        <v>0</v>
      </c>
      <c r="AA169" s="247">
        <f t="shared" si="41"/>
        <v>0</v>
      </c>
      <c r="AB169" s="238"/>
      <c r="AC169" s="520"/>
      <c r="AD169" s="234" t="s">
        <v>228</v>
      </c>
      <c r="AE169" s="235"/>
      <c r="AF169" s="235">
        <f t="shared" si="36"/>
        <v>0</v>
      </c>
      <c r="AG169" s="235"/>
      <c r="AH169" s="247">
        <f t="shared" si="42"/>
        <v>0</v>
      </c>
      <c r="AI169" s="238"/>
      <c r="AK169" s="240"/>
    </row>
    <row r="170" spans="1:37" x14ac:dyDescent="0.2">
      <c r="A170" s="248"/>
      <c r="B170" s="234"/>
      <c r="C170" s="235"/>
      <c r="D170" s="235"/>
      <c r="E170" s="235"/>
      <c r="F170" s="236"/>
      <c r="G170" s="239"/>
      <c r="H170" s="248"/>
      <c r="I170" s="234"/>
      <c r="J170" s="235"/>
      <c r="K170" s="235"/>
      <c r="L170" s="235"/>
      <c r="M170" s="236"/>
      <c r="N170" s="239"/>
      <c r="O170" s="520"/>
      <c r="P170" s="234" t="s">
        <v>229</v>
      </c>
      <c r="Q170" s="235">
        <f t="shared" si="31"/>
        <v>131.03805555555647</v>
      </c>
      <c r="R170" s="235">
        <f t="shared" si="28"/>
        <v>2.1839675925926079</v>
      </c>
      <c r="S170" s="235">
        <f t="shared" si="29"/>
        <v>6.5519027777777783</v>
      </c>
      <c r="T170" s="247">
        <f t="shared" si="40"/>
        <v>8.7358703703703853</v>
      </c>
      <c r="U170" s="238"/>
      <c r="V170" s="520"/>
      <c r="W170" s="234" t="s">
        <v>229</v>
      </c>
      <c r="X170" s="235">
        <f t="shared" si="37"/>
        <v>0</v>
      </c>
      <c r="Y170" s="235">
        <f t="shared" si="35"/>
        <v>0</v>
      </c>
      <c r="Z170" s="235">
        <f t="shared" si="43"/>
        <v>0</v>
      </c>
      <c r="AA170" s="247">
        <f t="shared" si="41"/>
        <v>0</v>
      </c>
      <c r="AB170" s="238"/>
      <c r="AC170" s="520"/>
      <c r="AD170" s="234" t="s">
        <v>229</v>
      </c>
      <c r="AE170" s="235"/>
      <c r="AF170" s="235">
        <f t="shared" si="36"/>
        <v>0</v>
      </c>
      <c r="AG170" s="235"/>
      <c r="AH170" s="247">
        <f t="shared" si="42"/>
        <v>0</v>
      </c>
      <c r="AI170" s="238"/>
      <c r="AK170" s="240"/>
    </row>
    <row r="171" spans="1:37" x14ac:dyDescent="0.2">
      <c r="A171" s="248"/>
      <c r="B171" s="234"/>
      <c r="C171" s="235"/>
      <c r="D171" s="235"/>
      <c r="E171" s="235"/>
      <c r="F171" s="236"/>
      <c r="G171" s="239"/>
      <c r="H171" s="248"/>
      <c r="I171" s="234"/>
      <c r="J171" s="235"/>
      <c r="K171" s="235"/>
      <c r="L171" s="235"/>
      <c r="M171" s="236"/>
      <c r="N171" s="239"/>
      <c r="O171" s="520"/>
      <c r="P171" s="234" t="s">
        <v>230</v>
      </c>
      <c r="Q171" s="235">
        <f t="shared" si="31"/>
        <v>124.48615277777868</v>
      </c>
      <c r="R171" s="235">
        <f t="shared" si="28"/>
        <v>2.0747692129629782</v>
      </c>
      <c r="S171" s="235">
        <f t="shared" si="29"/>
        <v>6.5519027777777783</v>
      </c>
      <c r="T171" s="247">
        <f t="shared" si="40"/>
        <v>8.626671990740757</v>
      </c>
      <c r="U171" s="238"/>
      <c r="V171" s="520"/>
      <c r="W171" s="234" t="s">
        <v>230</v>
      </c>
      <c r="X171" s="235">
        <f t="shared" si="37"/>
        <v>0</v>
      </c>
      <c r="Y171" s="235">
        <f t="shared" si="35"/>
        <v>0</v>
      </c>
      <c r="Z171" s="235">
        <f t="shared" si="43"/>
        <v>0</v>
      </c>
      <c r="AA171" s="247">
        <f t="shared" si="41"/>
        <v>0</v>
      </c>
      <c r="AB171" s="238"/>
      <c r="AC171" s="520"/>
      <c r="AD171" s="234" t="s">
        <v>230</v>
      </c>
      <c r="AE171" s="235"/>
      <c r="AF171" s="235">
        <f t="shared" si="36"/>
        <v>0</v>
      </c>
      <c r="AG171" s="235"/>
      <c r="AH171" s="247">
        <f t="shared" si="42"/>
        <v>0</v>
      </c>
      <c r="AI171" s="238"/>
      <c r="AK171" s="240"/>
    </row>
    <row r="172" spans="1:37" x14ac:dyDescent="0.2">
      <c r="A172" s="248"/>
      <c r="B172" s="234"/>
      <c r="C172" s="235"/>
      <c r="D172" s="235"/>
      <c r="E172" s="235"/>
      <c r="F172" s="236"/>
      <c r="G172" s="239"/>
      <c r="H172" s="248"/>
      <c r="I172" s="234"/>
      <c r="J172" s="235"/>
      <c r="K172" s="235"/>
      <c r="L172" s="235"/>
      <c r="M172" s="236"/>
      <c r="N172" s="239"/>
      <c r="O172" s="520"/>
      <c r="P172" s="234" t="s">
        <v>231</v>
      </c>
      <c r="Q172" s="235">
        <f t="shared" si="31"/>
        <v>117.9342500000009</v>
      </c>
      <c r="R172" s="235">
        <f t="shared" si="28"/>
        <v>1.9655708333333486</v>
      </c>
      <c r="S172" s="235">
        <f t="shared" si="29"/>
        <v>6.5519027777777783</v>
      </c>
      <c r="T172" s="247">
        <f t="shared" si="40"/>
        <v>8.5174736111111269</v>
      </c>
      <c r="U172" s="238"/>
      <c r="V172" s="520"/>
      <c r="W172" s="234" t="s">
        <v>231</v>
      </c>
      <c r="X172" s="235">
        <f t="shared" si="37"/>
        <v>0</v>
      </c>
      <c r="Y172" s="235">
        <f t="shared" si="35"/>
        <v>0</v>
      </c>
      <c r="Z172" s="235">
        <f t="shared" si="43"/>
        <v>0</v>
      </c>
      <c r="AA172" s="247">
        <f t="shared" si="41"/>
        <v>0</v>
      </c>
      <c r="AB172" s="238"/>
      <c r="AC172" s="520"/>
      <c r="AD172" s="234" t="s">
        <v>231</v>
      </c>
      <c r="AE172" s="235"/>
      <c r="AF172" s="235">
        <f t="shared" si="36"/>
        <v>0</v>
      </c>
      <c r="AG172" s="235"/>
      <c r="AH172" s="247">
        <f t="shared" si="42"/>
        <v>0</v>
      </c>
      <c r="AI172" s="238"/>
      <c r="AK172" s="240"/>
    </row>
    <row r="173" spans="1:37" x14ac:dyDescent="0.2">
      <c r="A173" s="248"/>
      <c r="B173" s="234"/>
      <c r="C173" s="235"/>
      <c r="D173" s="235"/>
      <c r="E173" s="235"/>
      <c r="F173" s="236"/>
      <c r="G173" s="239"/>
      <c r="H173" s="248"/>
      <c r="I173" s="234"/>
      <c r="J173" s="235"/>
      <c r="K173" s="235"/>
      <c r="L173" s="235"/>
      <c r="M173" s="236"/>
      <c r="N173" s="239"/>
      <c r="O173" s="520"/>
      <c r="P173" s="234" t="s">
        <v>232</v>
      </c>
      <c r="Q173" s="235">
        <f t="shared" si="31"/>
        <v>111.38234722222312</v>
      </c>
      <c r="R173" s="235">
        <f t="shared" si="28"/>
        <v>1.8563724537037187</v>
      </c>
      <c r="S173" s="235">
        <f t="shared" si="29"/>
        <v>6.5519027777777783</v>
      </c>
      <c r="T173" s="247">
        <f t="shared" si="40"/>
        <v>8.4082752314814968</v>
      </c>
      <c r="U173" s="238"/>
      <c r="V173" s="520"/>
      <c r="W173" s="234" t="s">
        <v>232</v>
      </c>
      <c r="X173" s="235">
        <f t="shared" si="37"/>
        <v>0</v>
      </c>
      <c r="Y173" s="235">
        <f t="shared" si="35"/>
        <v>0</v>
      </c>
      <c r="Z173" s="235">
        <f t="shared" si="43"/>
        <v>0</v>
      </c>
      <c r="AA173" s="247">
        <f t="shared" si="41"/>
        <v>0</v>
      </c>
      <c r="AB173" s="238"/>
      <c r="AC173" s="520"/>
      <c r="AD173" s="234" t="s">
        <v>232</v>
      </c>
      <c r="AE173" s="235"/>
      <c r="AF173" s="235">
        <f t="shared" si="36"/>
        <v>0</v>
      </c>
      <c r="AG173" s="235"/>
      <c r="AH173" s="247">
        <f t="shared" si="42"/>
        <v>0</v>
      </c>
      <c r="AI173" s="238"/>
      <c r="AK173" s="240"/>
    </row>
    <row r="174" spans="1:37" x14ac:dyDescent="0.2">
      <c r="A174" s="248"/>
      <c r="B174" s="234"/>
      <c r="C174" s="235"/>
      <c r="D174" s="235"/>
      <c r="E174" s="235"/>
      <c r="F174" s="236"/>
      <c r="G174" s="239"/>
      <c r="H174" s="248"/>
      <c r="I174" s="234"/>
      <c r="J174" s="235"/>
      <c r="K174" s="235"/>
      <c r="L174" s="235"/>
      <c r="M174" s="236"/>
      <c r="N174" s="239"/>
      <c r="O174" s="520"/>
      <c r="P174" s="234" t="s">
        <v>233</v>
      </c>
      <c r="Q174" s="235">
        <f t="shared" si="31"/>
        <v>104.83044444444533</v>
      </c>
      <c r="R174" s="235">
        <f t="shared" si="28"/>
        <v>1.7471740740740891</v>
      </c>
      <c r="S174" s="235">
        <f t="shared" si="29"/>
        <v>6.5519027777777783</v>
      </c>
      <c r="T174" s="247">
        <f t="shared" si="40"/>
        <v>8.2990768518518667</v>
      </c>
      <c r="U174" s="238"/>
      <c r="V174" s="520"/>
      <c r="W174" s="234" t="s">
        <v>233</v>
      </c>
      <c r="X174" s="235">
        <f t="shared" si="37"/>
        <v>0</v>
      </c>
      <c r="Y174" s="235">
        <f t="shared" si="35"/>
        <v>0</v>
      </c>
      <c r="Z174" s="235">
        <f t="shared" si="43"/>
        <v>0</v>
      </c>
      <c r="AA174" s="247">
        <f t="shared" si="41"/>
        <v>0</v>
      </c>
      <c r="AB174" s="238"/>
      <c r="AC174" s="520"/>
      <c r="AD174" s="234" t="s">
        <v>233</v>
      </c>
      <c r="AE174" s="235"/>
      <c r="AF174" s="235">
        <f t="shared" si="36"/>
        <v>0</v>
      </c>
      <c r="AG174" s="235"/>
      <c r="AH174" s="247">
        <f t="shared" si="42"/>
        <v>0</v>
      </c>
      <c r="AI174" s="238"/>
      <c r="AK174" s="240"/>
    </row>
    <row r="175" spans="1:37" x14ac:dyDescent="0.2">
      <c r="A175" s="248"/>
      <c r="B175" s="234"/>
      <c r="C175" s="235"/>
      <c r="D175" s="235"/>
      <c r="E175" s="235"/>
      <c r="F175" s="236"/>
      <c r="G175" s="239"/>
      <c r="H175" s="248"/>
      <c r="I175" s="234"/>
      <c r="J175" s="235"/>
      <c r="K175" s="235"/>
      <c r="L175" s="235"/>
      <c r="M175" s="236"/>
      <c r="N175" s="239"/>
      <c r="O175" s="520"/>
      <c r="P175" s="234" t="s">
        <v>234</v>
      </c>
      <c r="Q175" s="235">
        <f t="shared" si="31"/>
        <v>98.27854166666755</v>
      </c>
      <c r="R175" s="235">
        <f t="shared" si="28"/>
        <v>1.6379756944444592</v>
      </c>
      <c r="S175" s="235">
        <f t="shared" si="29"/>
        <v>6.5519027777777783</v>
      </c>
      <c r="T175" s="247">
        <f t="shared" si="40"/>
        <v>8.1898784722222366</v>
      </c>
      <c r="U175" s="238"/>
      <c r="V175" s="520"/>
      <c r="W175" s="234" t="s">
        <v>234</v>
      </c>
      <c r="X175" s="235">
        <f t="shared" si="37"/>
        <v>0</v>
      </c>
      <c r="Y175" s="235">
        <f t="shared" si="35"/>
        <v>0</v>
      </c>
      <c r="Z175" s="235">
        <f t="shared" si="43"/>
        <v>0</v>
      </c>
      <c r="AA175" s="247">
        <f t="shared" si="41"/>
        <v>0</v>
      </c>
      <c r="AB175" s="238"/>
      <c r="AC175" s="520"/>
      <c r="AD175" s="234" t="s">
        <v>234</v>
      </c>
      <c r="AE175" s="235"/>
      <c r="AF175" s="235">
        <f t="shared" si="36"/>
        <v>0</v>
      </c>
      <c r="AG175" s="235"/>
      <c r="AH175" s="247">
        <f t="shared" si="42"/>
        <v>0</v>
      </c>
      <c r="AI175" s="238"/>
      <c r="AK175" s="240"/>
    </row>
    <row r="176" spans="1:37" x14ac:dyDescent="0.2">
      <c r="A176" s="248"/>
      <c r="B176" s="234"/>
      <c r="C176" s="235"/>
      <c r="D176" s="235"/>
      <c r="E176" s="235"/>
      <c r="F176" s="236"/>
      <c r="G176" s="239"/>
      <c r="H176" s="248"/>
      <c r="I176" s="234"/>
      <c r="J176" s="235"/>
      <c r="K176" s="235"/>
      <c r="L176" s="235"/>
      <c r="M176" s="236"/>
      <c r="N176" s="239"/>
      <c r="O176" s="520"/>
      <c r="P176" s="234" t="s">
        <v>235</v>
      </c>
      <c r="Q176" s="235">
        <f t="shared" si="31"/>
        <v>91.726638888889767</v>
      </c>
      <c r="R176" s="235">
        <f t="shared" si="28"/>
        <v>1.5287773148148294</v>
      </c>
      <c r="S176" s="235">
        <f t="shared" si="29"/>
        <v>6.5519027777777783</v>
      </c>
      <c r="T176" s="247">
        <f t="shared" si="40"/>
        <v>8.0806800925926083</v>
      </c>
      <c r="U176" s="238"/>
      <c r="V176" s="520"/>
      <c r="W176" s="234" t="s">
        <v>235</v>
      </c>
      <c r="X176" s="235">
        <f t="shared" si="37"/>
        <v>0</v>
      </c>
      <c r="Y176" s="235">
        <f t="shared" si="35"/>
        <v>0</v>
      </c>
      <c r="Z176" s="235">
        <f t="shared" si="43"/>
        <v>0</v>
      </c>
      <c r="AA176" s="247">
        <f t="shared" si="41"/>
        <v>0</v>
      </c>
      <c r="AB176" s="238"/>
      <c r="AC176" s="520"/>
      <c r="AD176" s="234" t="s">
        <v>235</v>
      </c>
      <c r="AE176" s="235"/>
      <c r="AF176" s="235">
        <f t="shared" si="36"/>
        <v>0</v>
      </c>
      <c r="AG176" s="235"/>
      <c r="AH176" s="247">
        <f t="shared" si="42"/>
        <v>0</v>
      </c>
      <c r="AI176" s="238"/>
      <c r="AK176" s="240"/>
    </row>
    <row r="177" spans="1:37" x14ac:dyDescent="0.2">
      <c r="A177" s="248"/>
      <c r="B177" s="234"/>
      <c r="C177" s="235"/>
      <c r="D177" s="235"/>
      <c r="E177" s="235"/>
      <c r="F177" s="236"/>
      <c r="G177" s="239"/>
      <c r="H177" s="248"/>
      <c r="I177" s="234"/>
      <c r="J177" s="235"/>
      <c r="K177" s="235"/>
      <c r="L177" s="235"/>
      <c r="M177" s="236"/>
      <c r="N177" s="239"/>
      <c r="O177" s="521"/>
      <c r="P177" s="234" t="s">
        <v>236</v>
      </c>
      <c r="Q177" s="235">
        <f t="shared" si="31"/>
        <v>85.174736111111983</v>
      </c>
      <c r="R177" s="235">
        <f t="shared" si="28"/>
        <v>1.4195789351851997</v>
      </c>
      <c r="S177" s="235">
        <f t="shared" si="29"/>
        <v>6.5519027777777783</v>
      </c>
      <c r="T177" s="247">
        <f t="shared" si="40"/>
        <v>7.9714817129629782</v>
      </c>
      <c r="U177" s="238">
        <f>SUM(R166:R177)</f>
        <v>24.24204027777796</v>
      </c>
      <c r="V177" s="521"/>
      <c r="W177" s="234" t="s">
        <v>236</v>
      </c>
      <c r="X177" s="235">
        <f t="shared" si="37"/>
        <v>0</v>
      </c>
      <c r="Y177" s="235">
        <f t="shared" si="35"/>
        <v>0</v>
      </c>
      <c r="Z177" s="235">
        <f t="shared" si="43"/>
        <v>0</v>
      </c>
      <c r="AA177" s="247">
        <f t="shared" si="41"/>
        <v>0</v>
      </c>
      <c r="AB177" s="238">
        <f>SUM(Y166:Y177)</f>
        <v>0</v>
      </c>
      <c r="AC177" s="521"/>
      <c r="AD177" s="234" t="s">
        <v>236</v>
      </c>
      <c r="AE177" s="235"/>
      <c r="AF177" s="235">
        <f t="shared" si="36"/>
        <v>0</v>
      </c>
      <c r="AG177" s="235"/>
      <c r="AH177" s="247">
        <f t="shared" si="42"/>
        <v>0</v>
      </c>
      <c r="AI177" s="238">
        <f>SUM(AF166:AF177)</f>
        <v>0</v>
      </c>
      <c r="AJ177" s="208">
        <f>O166</f>
        <v>2035</v>
      </c>
      <c r="AK177" s="240">
        <f>G177+N177+U177+AB177+AI177</f>
        <v>24.24204027777796</v>
      </c>
    </row>
    <row r="178" spans="1:37" x14ac:dyDescent="0.2">
      <c r="A178" s="248"/>
      <c r="B178" s="234"/>
      <c r="C178" s="235"/>
      <c r="D178" s="235"/>
      <c r="E178" s="235"/>
      <c r="F178" s="236"/>
      <c r="G178" s="239"/>
      <c r="H178" s="248"/>
      <c r="I178" s="234"/>
      <c r="J178" s="235"/>
      <c r="K178" s="235"/>
      <c r="L178" s="235"/>
      <c r="M178" s="236"/>
      <c r="N178" s="239"/>
      <c r="O178" s="519">
        <f>O166+1</f>
        <v>2036</v>
      </c>
      <c r="P178" s="234" t="s">
        <v>225</v>
      </c>
      <c r="Q178" s="235">
        <f t="shared" si="31"/>
        <v>78.622833333334199</v>
      </c>
      <c r="R178" s="235">
        <f t="shared" si="28"/>
        <v>1.3103805555555701</v>
      </c>
      <c r="S178" s="235">
        <f t="shared" si="29"/>
        <v>6.5519027777777783</v>
      </c>
      <c r="T178" s="247">
        <f t="shared" si="40"/>
        <v>7.8622833333333482</v>
      </c>
      <c r="U178" s="237"/>
      <c r="V178" s="519">
        <v>2035</v>
      </c>
      <c r="W178" s="234" t="s">
        <v>225</v>
      </c>
      <c r="X178" s="235">
        <f t="shared" si="37"/>
        <v>0</v>
      </c>
      <c r="Y178" s="235">
        <f t="shared" si="35"/>
        <v>0</v>
      </c>
      <c r="Z178" s="235">
        <f t="shared" si="43"/>
        <v>0</v>
      </c>
      <c r="AA178" s="247">
        <f t="shared" si="41"/>
        <v>0</v>
      </c>
      <c r="AB178" s="237"/>
      <c r="AC178" s="519">
        <v>2035</v>
      </c>
      <c r="AD178" s="234" t="s">
        <v>225</v>
      </c>
      <c r="AE178" s="235"/>
      <c r="AF178" s="235">
        <f t="shared" si="36"/>
        <v>0</v>
      </c>
      <c r="AG178" s="235"/>
      <c r="AH178" s="247">
        <f t="shared" si="42"/>
        <v>0</v>
      </c>
      <c r="AI178" s="237"/>
      <c r="AK178" s="240"/>
    </row>
    <row r="179" spans="1:37" x14ac:dyDescent="0.2">
      <c r="A179" s="248"/>
      <c r="B179" s="234"/>
      <c r="C179" s="235"/>
      <c r="D179" s="235"/>
      <c r="E179" s="235"/>
      <c r="F179" s="236"/>
      <c r="G179" s="239"/>
      <c r="H179" s="248"/>
      <c r="I179" s="234"/>
      <c r="J179" s="235"/>
      <c r="K179" s="235"/>
      <c r="L179" s="235"/>
      <c r="M179" s="236"/>
      <c r="N179" s="239"/>
      <c r="O179" s="520"/>
      <c r="P179" s="234" t="s">
        <v>226</v>
      </c>
      <c r="Q179" s="235">
        <f t="shared" si="31"/>
        <v>72.070930555556416</v>
      </c>
      <c r="R179" s="235">
        <f t="shared" si="28"/>
        <v>1.2011821759259405</v>
      </c>
      <c r="S179" s="235">
        <f t="shared" si="29"/>
        <v>6.5519027777777783</v>
      </c>
      <c r="T179" s="247">
        <f t="shared" si="40"/>
        <v>7.753084953703719</v>
      </c>
      <c r="U179" s="238"/>
      <c r="V179" s="520"/>
      <c r="W179" s="234" t="s">
        <v>226</v>
      </c>
      <c r="X179" s="235">
        <f t="shared" si="37"/>
        <v>0</v>
      </c>
      <c r="Y179" s="235">
        <f t="shared" si="35"/>
        <v>0</v>
      </c>
      <c r="Z179" s="235">
        <f t="shared" si="43"/>
        <v>0</v>
      </c>
      <c r="AA179" s="247">
        <f t="shared" si="41"/>
        <v>0</v>
      </c>
      <c r="AB179" s="238"/>
      <c r="AC179" s="520"/>
      <c r="AD179" s="234" t="s">
        <v>226</v>
      </c>
      <c r="AE179" s="235"/>
      <c r="AF179" s="235">
        <f t="shared" si="36"/>
        <v>0</v>
      </c>
      <c r="AG179" s="235"/>
      <c r="AH179" s="247">
        <f t="shared" si="42"/>
        <v>0</v>
      </c>
      <c r="AI179" s="238"/>
      <c r="AK179" s="240"/>
    </row>
    <row r="180" spans="1:37" x14ac:dyDescent="0.2">
      <c r="A180" s="248"/>
      <c r="B180" s="234"/>
      <c r="C180" s="235"/>
      <c r="D180" s="235"/>
      <c r="E180" s="235"/>
      <c r="F180" s="236"/>
      <c r="G180" s="239"/>
      <c r="H180" s="248"/>
      <c r="I180" s="234"/>
      <c r="J180" s="235"/>
      <c r="K180" s="235"/>
      <c r="L180" s="235"/>
      <c r="M180" s="236"/>
      <c r="N180" s="239"/>
      <c r="O180" s="520"/>
      <c r="P180" s="234" t="s">
        <v>227</v>
      </c>
      <c r="Q180" s="235">
        <f t="shared" si="31"/>
        <v>65.519027777778632</v>
      </c>
      <c r="R180" s="235">
        <f t="shared" si="28"/>
        <v>1.0919837962963106</v>
      </c>
      <c r="S180" s="235">
        <f t="shared" si="29"/>
        <v>6.5519027777777783</v>
      </c>
      <c r="T180" s="247">
        <f t="shared" si="40"/>
        <v>7.6438865740740889</v>
      </c>
      <c r="U180" s="238"/>
      <c r="V180" s="520"/>
      <c r="W180" s="234" t="s">
        <v>227</v>
      </c>
      <c r="X180" s="235">
        <f t="shared" si="37"/>
        <v>0</v>
      </c>
      <c r="Y180" s="235">
        <f t="shared" si="35"/>
        <v>0</v>
      </c>
      <c r="Z180" s="235">
        <f t="shared" si="43"/>
        <v>0</v>
      </c>
      <c r="AA180" s="247">
        <f t="shared" si="41"/>
        <v>0</v>
      </c>
      <c r="AB180" s="238"/>
      <c r="AC180" s="520"/>
      <c r="AD180" s="234" t="s">
        <v>227</v>
      </c>
      <c r="AE180" s="235"/>
      <c r="AF180" s="235">
        <f t="shared" si="36"/>
        <v>0</v>
      </c>
      <c r="AG180" s="235"/>
      <c r="AH180" s="247">
        <f t="shared" si="42"/>
        <v>0</v>
      </c>
      <c r="AI180" s="238"/>
      <c r="AK180" s="240"/>
    </row>
    <row r="181" spans="1:37" x14ac:dyDescent="0.2">
      <c r="A181" s="248"/>
      <c r="B181" s="234"/>
      <c r="C181" s="235"/>
      <c r="D181" s="235"/>
      <c r="E181" s="235"/>
      <c r="F181" s="236"/>
      <c r="G181" s="239"/>
      <c r="H181" s="248"/>
      <c r="I181" s="234"/>
      <c r="J181" s="235"/>
      <c r="K181" s="235"/>
      <c r="L181" s="235"/>
      <c r="M181" s="236"/>
      <c r="N181" s="239"/>
      <c r="O181" s="520"/>
      <c r="P181" s="234" t="s">
        <v>228</v>
      </c>
      <c r="Q181" s="235">
        <f t="shared" si="31"/>
        <v>58.967125000000856</v>
      </c>
      <c r="R181" s="235">
        <f t="shared" si="28"/>
        <v>0.98278541666668096</v>
      </c>
      <c r="S181" s="235">
        <f t="shared" si="29"/>
        <v>6.5519027777777783</v>
      </c>
      <c r="T181" s="247">
        <f t="shared" si="40"/>
        <v>7.5346881944444597</v>
      </c>
      <c r="U181" s="238"/>
      <c r="V181" s="520"/>
      <c r="W181" s="234" t="s">
        <v>228</v>
      </c>
      <c r="X181" s="235">
        <f t="shared" si="37"/>
        <v>0</v>
      </c>
      <c r="Y181" s="235">
        <f t="shared" si="35"/>
        <v>0</v>
      </c>
      <c r="Z181" s="235">
        <f t="shared" si="43"/>
        <v>0</v>
      </c>
      <c r="AA181" s="247">
        <f t="shared" si="41"/>
        <v>0</v>
      </c>
      <c r="AB181" s="238"/>
      <c r="AC181" s="520"/>
      <c r="AD181" s="234" t="s">
        <v>228</v>
      </c>
      <c r="AE181" s="235"/>
      <c r="AF181" s="235">
        <f t="shared" si="36"/>
        <v>0</v>
      </c>
      <c r="AG181" s="235"/>
      <c r="AH181" s="247">
        <f t="shared" si="42"/>
        <v>0</v>
      </c>
      <c r="AI181" s="238"/>
      <c r="AK181" s="240"/>
    </row>
    <row r="182" spans="1:37" x14ac:dyDescent="0.2">
      <c r="A182" s="248"/>
      <c r="B182" s="234"/>
      <c r="C182" s="235"/>
      <c r="D182" s="235"/>
      <c r="E182" s="235"/>
      <c r="F182" s="236"/>
      <c r="G182" s="239"/>
      <c r="H182" s="248"/>
      <c r="I182" s="234"/>
      <c r="J182" s="235"/>
      <c r="K182" s="235"/>
      <c r="L182" s="235"/>
      <c r="M182" s="236"/>
      <c r="N182" s="239"/>
      <c r="O182" s="520"/>
      <c r="P182" s="234" t="s">
        <v>229</v>
      </c>
      <c r="Q182" s="235">
        <f t="shared" si="31"/>
        <v>52.415222222223079</v>
      </c>
      <c r="R182" s="235">
        <f t="shared" si="28"/>
        <v>0.87358703703705132</v>
      </c>
      <c r="S182" s="235">
        <f t="shared" si="29"/>
        <v>6.5519027777777783</v>
      </c>
      <c r="T182" s="247">
        <f t="shared" si="40"/>
        <v>7.4254898148148296</v>
      </c>
      <c r="U182" s="238"/>
      <c r="V182" s="520"/>
      <c r="W182" s="234" t="s">
        <v>229</v>
      </c>
      <c r="X182" s="235">
        <f t="shared" si="37"/>
        <v>0</v>
      </c>
      <c r="Y182" s="235">
        <f t="shared" si="35"/>
        <v>0</v>
      </c>
      <c r="Z182" s="235">
        <f t="shared" si="43"/>
        <v>0</v>
      </c>
      <c r="AA182" s="247">
        <f t="shared" si="41"/>
        <v>0</v>
      </c>
      <c r="AB182" s="238"/>
      <c r="AC182" s="520"/>
      <c r="AD182" s="234" t="s">
        <v>229</v>
      </c>
      <c r="AE182" s="235"/>
      <c r="AF182" s="235">
        <f t="shared" si="36"/>
        <v>0</v>
      </c>
      <c r="AG182" s="235"/>
      <c r="AH182" s="247">
        <f t="shared" si="42"/>
        <v>0</v>
      </c>
      <c r="AI182" s="238"/>
      <c r="AK182" s="240"/>
    </row>
    <row r="183" spans="1:37" x14ac:dyDescent="0.2">
      <c r="A183" s="248"/>
      <c r="B183" s="234"/>
      <c r="C183" s="235"/>
      <c r="D183" s="235"/>
      <c r="E183" s="235"/>
      <c r="F183" s="236"/>
      <c r="G183" s="239"/>
      <c r="H183" s="248"/>
      <c r="I183" s="234"/>
      <c r="J183" s="235"/>
      <c r="K183" s="235"/>
      <c r="L183" s="235"/>
      <c r="M183" s="236"/>
      <c r="N183" s="239"/>
      <c r="O183" s="520"/>
      <c r="P183" s="234" t="s">
        <v>230</v>
      </c>
      <c r="Q183" s="235">
        <f t="shared" si="31"/>
        <v>45.863319444445303</v>
      </c>
      <c r="R183" s="235">
        <f t="shared" si="28"/>
        <v>0.76438865740742168</v>
      </c>
      <c r="S183" s="235">
        <f t="shared" si="29"/>
        <v>6.5519027777777783</v>
      </c>
      <c r="T183" s="247">
        <f t="shared" si="40"/>
        <v>7.3162914351851995</v>
      </c>
      <c r="U183" s="238"/>
      <c r="V183" s="520"/>
      <c r="W183" s="234" t="s">
        <v>230</v>
      </c>
      <c r="X183" s="235">
        <f t="shared" si="37"/>
        <v>0</v>
      </c>
      <c r="Y183" s="235">
        <f t="shared" si="35"/>
        <v>0</v>
      </c>
      <c r="Z183" s="235">
        <f t="shared" si="43"/>
        <v>0</v>
      </c>
      <c r="AA183" s="247">
        <f t="shared" si="41"/>
        <v>0</v>
      </c>
      <c r="AB183" s="238"/>
      <c r="AC183" s="520"/>
      <c r="AD183" s="234" t="s">
        <v>230</v>
      </c>
      <c r="AE183" s="235"/>
      <c r="AF183" s="235">
        <f t="shared" si="36"/>
        <v>0</v>
      </c>
      <c r="AG183" s="235"/>
      <c r="AH183" s="247">
        <f t="shared" si="42"/>
        <v>0</v>
      </c>
      <c r="AI183" s="238"/>
      <c r="AK183" s="240"/>
    </row>
    <row r="184" spans="1:37" x14ac:dyDescent="0.2">
      <c r="A184" s="248"/>
      <c r="B184" s="234"/>
      <c r="C184" s="235"/>
      <c r="D184" s="235"/>
      <c r="E184" s="235"/>
      <c r="F184" s="236"/>
      <c r="G184" s="239"/>
      <c r="H184" s="248"/>
      <c r="I184" s="234"/>
      <c r="J184" s="235"/>
      <c r="K184" s="235"/>
      <c r="L184" s="235"/>
      <c r="M184" s="236"/>
      <c r="N184" s="239"/>
      <c r="O184" s="520"/>
      <c r="P184" s="234" t="s">
        <v>231</v>
      </c>
      <c r="Q184" s="235">
        <f t="shared" si="31"/>
        <v>39.311416666667526</v>
      </c>
      <c r="R184" s="235">
        <f t="shared" si="28"/>
        <v>0.65519027777779215</v>
      </c>
      <c r="S184" s="235">
        <f t="shared" si="29"/>
        <v>6.5519027777777783</v>
      </c>
      <c r="T184" s="247">
        <f t="shared" si="40"/>
        <v>7.2070930555555703</v>
      </c>
      <c r="U184" s="238"/>
      <c r="V184" s="520"/>
      <c r="W184" s="234" t="s">
        <v>231</v>
      </c>
      <c r="X184" s="235">
        <f t="shared" si="37"/>
        <v>0</v>
      </c>
      <c r="Y184" s="235">
        <f t="shared" si="35"/>
        <v>0</v>
      </c>
      <c r="Z184" s="235">
        <f t="shared" si="43"/>
        <v>0</v>
      </c>
      <c r="AA184" s="247">
        <f t="shared" si="41"/>
        <v>0</v>
      </c>
      <c r="AB184" s="238"/>
      <c r="AC184" s="520"/>
      <c r="AD184" s="234" t="s">
        <v>231</v>
      </c>
      <c r="AE184" s="235"/>
      <c r="AF184" s="235">
        <f t="shared" si="36"/>
        <v>0</v>
      </c>
      <c r="AG184" s="235"/>
      <c r="AH184" s="247">
        <f t="shared" si="42"/>
        <v>0</v>
      </c>
      <c r="AI184" s="238"/>
      <c r="AK184" s="240"/>
    </row>
    <row r="185" spans="1:37" x14ac:dyDescent="0.2">
      <c r="A185" s="248"/>
      <c r="B185" s="234"/>
      <c r="C185" s="235"/>
      <c r="D185" s="235"/>
      <c r="E185" s="235"/>
      <c r="F185" s="236"/>
      <c r="G185" s="239"/>
      <c r="H185" s="248"/>
      <c r="I185" s="234"/>
      <c r="J185" s="235"/>
      <c r="K185" s="235"/>
      <c r="L185" s="235"/>
      <c r="M185" s="236"/>
      <c r="N185" s="239"/>
      <c r="O185" s="520"/>
      <c r="P185" s="234" t="s">
        <v>232</v>
      </c>
      <c r="Q185" s="235">
        <f t="shared" si="31"/>
        <v>32.759513888889749</v>
      </c>
      <c r="R185" s="235">
        <f t="shared" si="28"/>
        <v>0.54599189814816251</v>
      </c>
      <c r="S185" s="235">
        <f t="shared" si="29"/>
        <v>6.5519027777777783</v>
      </c>
      <c r="T185" s="247">
        <f t="shared" si="40"/>
        <v>7.0978946759259411</v>
      </c>
      <c r="U185" s="238"/>
      <c r="V185" s="520"/>
      <c r="W185" s="234" t="s">
        <v>232</v>
      </c>
      <c r="X185" s="235">
        <f t="shared" si="37"/>
        <v>0</v>
      </c>
      <c r="Y185" s="235">
        <f t="shared" si="35"/>
        <v>0</v>
      </c>
      <c r="Z185" s="235">
        <f t="shared" si="43"/>
        <v>0</v>
      </c>
      <c r="AA185" s="247">
        <f t="shared" si="41"/>
        <v>0</v>
      </c>
      <c r="AB185" s="238"/>
      <c r="AC185" s="520"/>
      <c r="AD185" s="234" t="s">
        <v>232</v>
      </c>
      <c r="AE185" s="235"/>
      <c r="AF185" s="235">
        <f t="shared" si="36"/>
        <v>0</v>
      </c>
      <c r="AG185" s="235"/>
      <c r="AH185" s="247">
        <f t="shared" si="42"/>
        <v>0</v>
      </c>
      <c r="AI185" s="238"/>
      <c r="AK185" s="240"/>
    </row>
    <row r="186" spans="1:37" x14ac:dyDescent="0.2">
      <c r="A186" s="248"/>
      <c r="B186" s="234"/>
      <c r="C186" s="235"/>
      <c r="D186" s="235"/>
      <c r="E186" s="235"/>
      <c r="F186" s="236"/>
      <c r="G186" s="239"/>
      <c r="H186" s="248"/>
      <c r="I186" s="234"/>
      <c r="J186" s="235"/>
      <c r="K186" s="235"/>
      <c r="L186" s="235"/>
      <c r="M186" s="236"/>
      <c r="N186" s="239"/>
      <c r="O186" s="520"/>
      <c r="P186" s="234" t="s">
        <v>233</v>
      </c>
      <c r="Q186" s="235">
        <f t="shared" si="31"/>
        <v>26.207611111111973</v>
      </c>
      <c r="R186" s="235">
        <f t="shared" si="28"/>
        <v>0.43679351851853293</v>
      </c>
      <c r="S186" s="235">
        <f t="shared" si="29"/>
        <v>6.5519027777777783</v>
      </c>
      <c r="T186" s="247">
        <f t="shared" si="40"/>
        <v>6.9886962962963111</v>
      </c>
      <c r="U186" s="238"/>
      <c r="V186" s="520"/>
      <c r="W186" s="234" t="s">
        <v>233</v>
      </c>
      <c r="X186" s="235">
        <f t="shared" si="37"/>
        <v>0</v>
      </c>
      <c r="Y186" s="235">
        <f t="shared" si="35"/>
        <v>0</v>
      </c>
      <c r="Z186" s="235">
        <f t="shared" si="43"/>
        <v>0</v>
      </c>
      <c r="AA186" s="247">
        <f t="shared" si="41"/>
        <v>0</v>
      </c>
      <c r="AB186" s="238"/>
      <c r="AC186" s="520"/>
      <c r="AD186" s="234" t="s">
        <v>233</v>
      </c>
      <c r="AE186" s="235"/>
      <c r="AF186" s="235">
        <f t="shared" si="36"/>
        <v>0</v>
      </c>
      <c r="AG186" s="235"/>
      <c r="AH186" s="247">
        <f t="shared" si="42"/>
        <v>0</v>
      </c>
      <c r="AI186" s="238"/>
      <c r="AK186" s="240"/>
    </row>
    <row r="187" spans="1:37" x14ac:dyDescent="0.2">
      <c r="A187" s="248"/>
      <c r="B187" s="234"/>
      <c r="C187" s="235"/>
      <c r="D187" s="235"/>
      <c r="E187" s="235"/>
      <c r="F187" s="236"/>
      <c r="G187" s="239"/>
      <c r="H187" s="248"/>
      <c r="I187" s="234"/>
      <c r="J187" s="235"/>
      <c r="K187" s="235"/>
      <c r="L187" s="235"/>
      <c r="M187" s="236"/>
      <c r="N187" s="239"/>
      <c r="O187" s="520"/>
      <c r="P187" s="234" t="s">
        <v>234</v>
      </c>
      <c r="Q187" s="235">
        <f t="shared" si="31"/>
        <v>19.655708333334196</v>
      </c>
      <c r="R187" s="235">
        <f t="shared" si="28"/>
        <v>0.32759513888890329</v>
      </c>
      <c r="S187" s="235">
        <f t="shared" si="29"/>
        <v>6.5519027777777783</v>
      </c>
      <c r="T187" s="247">
        <f t="shared" si="40"/>
        <v>6.8794979166666819</v>
      </c>
      <c r="U187" s="238"/>
      <c r="V187" s="520"/>
      <c r="W187" s="234" t="s">
        <v>234</v>
      </c>
      <c r="X187" s="235">
        <f t="shared" si="37"/>
        <v>0</v>
      </c>
      <c r="Y187" s="235">
        <f t="shared" si="35"/>
        <v>0</v>
      </c>
      <c r="Z187" s="235">
        <f t="shared" si="43"/>
        <v>0</v>
      </c>
      <c r="AA187" s="247">
        <f t="shared" si="41"/>
        <v>0</v>
      </c>
      <c r="AB187" s="238"/>
      <c r="AC187" s="520"/>
      <c r="AD187" s="234" t="s">
        <v>234</v>
      </c>
      <c r="AE187" s="235"/>
      <c r="AF187" s="235">
        <f t="shared" si="36"/>
        <v>0</v>
      </c>
      <c r="AG187" s="235"/>
      <c r="AH187" s="247">
        <f t="shared" si="42"/>
        <v>0</v>
      </c>
      <c r="AI187" s="238"/>
      <c r="AK187" s="240"/>
    </row>
    <row r="188" spans="1:37" x14ac:dyDescent="0.2">
      <c r="A188" s="248"/>
      <c r="B188" s="234"/>
      <c r="C188" s="235"/>
      <c r="D188" s="235"/>
      <c r="E188" s="235"/>
      <c r="F188" s="236"/>
      <c r="G188" s="239"/>
      <c r="H188" s="248"/>
      <c r="I188" s="234"/>
      <c r="J188" s="235"/>
      <c r="K188" s="235"/>
      <c r="L188" s="235"/>
      <c r="M188" s="236"/>
      <c r="N188" s="239"/>
      <c r="O188" s="520"/>
      <c r="P188" s="234" t="s">
        <v>235</v>
      </c>
      <c r="Q188" s="235">
        <f t="shared" si="31"/>
        <v>13.103805555556418</v>
      </c>
      <c r="R188" s="235">
        <f t="shared" si="28"/>
        <v>0.21839675925927363</v>
      </c>
      <c r="S188" s="235">
        <f t="shared" si="29"/>
        <v>6.5519027777777783</v>
      </c>
      <c r="T188" s="247">
        <f t="shared" si="40"/>
        <v>6.7702995370370518</v>
      </c>
      <c r="U188" s="238"/>
      <c r="V188" s="520"/>
      <c r="W188" s="234" t="s">
        <v>235</v>
      </c>
      <c r="X188" s="235">
        <f t="shared" si="37"/>
        <v>0</v>
      </c>
      <c r="Y188" s="235">
        <f t="shared" si="35"/>
        <v>0</v>
      </c>
      <c r="Z188" s="235">
        <f t="shared" si="43"/>
        <v>0</v>
      </c>
      <c r="AA188" s="247">
        <f t="shared" si="41"/>
        <v>0</v>
      </c>
      <c r="AB188" s="238"/>
      <c r="AC188" s="520"/>
      <c r="AD188" s="234" t="s">
        <v>235</v>
      </c>
      <c r="AE188" s="235"/>
      <c r="AF188" s="235">
        <f t="shared" si="36"/>
        <v>0</v>
      </c>
      <c r="AG188" s="235"/>
      <c r="AH188" s="247">
        <f t="shared" si="42"/>
        <v>0</v>
      </c>
      <c r="AI188" s="238"/>
      <c r="AK188" s="240"/>
    </row>
    <row r="189" spans="1:37" x14ac:dyDescent="0.2">
      <c r="A189" s="248"/>
      <c r="B189" s="234"/>
      <c r="C189" s="235"/>
      <c r="D189" s="235"/>
      <c r="E189" s="235"/>
      <c r="F189" s="236"/>
      <c r="G189" s="239"/>
      <c r="H189" s="248"/>
      <c r="I189" s="234"/>
      <c r="J189" s="235"/>
      <c r="K189" s="235"/>
      <c r="L189" s="235"/>
      <c r="M189" s="236"/>
      <c r="N189" s="239"/>
      <c r="O189" s="521"/>
      <c r="P189" s="234" t="s">
        <v>236</v>
      </c>
      <c r="Q189" s="235">
        <f t="shared" si="31"/>
        <v>6.5519027777786398</v>
      </c>
      <c r="R189" s="235">
        <f t="shared" si="28"/>
        <v>0.109198379629644</v>
      </c>
      <c r="S189" s="235">
        <f t="shared" si="29"/>
        <v>6.5519027777777783</v>
      </c>
      <c r="T189" s="247">
        <f t="shared" si="40"/>
        <v>6.6611011574074226</v>
      </c>
      <c r="U189" s="239">
        <f>SUM(R178:R189)</f>
        <v>8.517473611111285</v>
      </c>
      <c r="V189" s="521"/>
      <c r="W189" s="234" t="s">
        <v>236</v>
      </c>
      <c r="X189" s="235">
        <f t="shared" si="37"/>
        <v>0</v>
      </c>
      <c r="Y189" s="235">
        <f t="shared" si="35"/>
        <v>0</v>
      </c>
      <c r="Z189" s="235">
        <f t="shared" si="43"/>
        <v>0</v>
      </c>
      <c r="AA189" s="247">
        <f t="shared" si="41"/>
        <v>0</v>
      </c>
      <c r="AB189" s="239">
        <f>SUM(Y178:Y189)</f>
        <v>0</v>
      </c>
      <c r="AC189" s="521"/>
      <c r="AD189" s="234" t="s">
        <v>236</v>
      </c>
      <c r="AE189" s="235"/>
      <c r="AF189" s="235">
        <f t="shared" si="36"/>
        <v>0</v>
      </c>
      <c r="AG189" s="235"/>
      <c r="AH189" s="247">
        <f t="shared" si="42"/>
        <v>0</v>
      </c>
      <c r="AI189" s="239">
        <f>SUM(AF178:AF189)</f>
        <v>0</v>
      </c>
      <c r="AJ189" s="208">
        <f>O178</f>
        <v>2036</v>
      </c>
      <c r="AK189" s="240">
        <f>G189+N189+U189+AB189+AI189</f>
        <v>8.517473611111285</v>
      </c>
    </row>
    <row r="190" spans="1:37" hidden="1" x14ac:dyDescent="0.2">
      <c r="A190" s="248"/>
      <c r="B190" s="234"/>
      <c r="C190" s="235"/>
      <c r="D190" s="235"/>
      <c r="E190" s="235"/>
      <c r="F190" s="236"/>
      <c r="G190" s="239"/>
      <c r="H190" s="248"/>
      <c r="I190" s="234"/>
      <c r="J190" s="235"/>
      <c r="K190" s="235"/>
      <c r="L190" s="235"/>
      <c r="M190" s="236"/>
      <c r="N190" s="239"/>
      <c r="O190" s="519">
        <v>2036</v>
      </c>
      <c r="P190" s="234" t="s">
        <v>225</v>
      </c>
      <c r="Q190" s="235"/>
      <c r="R190" s="235"/>
      <c r="S190" s="235"/>
      <c r="T190" s="236">
        <f t="shared" si="40"/>
        <v>0</v>
      </c>
      <c r="U190" s="239"/>
      <c r="V190" s="519">
        <v>2036</v>
      </c>
      <c r="W190" s="234" t="s">
        <v>225</v>
      </c>
      <c r="X190" s="235">
        <f t="shared" si="37"/>
        <v>0</v>
      </c>
      <c r="Y190" s="235">
        <f>X190*$Y$7/12</f>
        <v>0</v>
      </c>
      <c r="Z190" s="235">
        <f t="shared" si="43"/>
        <v>0</v>
      </c>
      <c r="AA190" s="247">
        <f t="shared" si="41"/>
        <v>0</v>
      </c>
      <c r="AB190" s="249"/>
      <c r="AC190" s="519">
        <v>2036</v>
      </c>
      <c r="AD190" s="234" t="s">
        <v>225</v>
      </c>
      <c r="AE190" s="235">
        <f>AE7-AE8</f>
        <v>0</v>
      </c>
      <c r="AF190" s="235">
        <f>AE190*$Y$7/12</f>
        <v>0</v>
      </c>
      <c r="AG190" s="235">
        <f>AE$7/AF$8</f>
        <v>0</v>
      </c>
      <c r="AH190" s="247">
        <f t="shared" si="42"/>
        <v>0</v>
      </c>
      <c r="AI190" s="249"/>
      <c r="AK190" s="240"/>
    </row>
    <row r="191" spans="1:37" hidden="1" x14ac:dyDescent="0.2">
      <c r="A191" s="248"/>
      <c r="B191" s="234"/>
      <c r="C191" s="235"/>
      <c r="D191" s="235"/>
      <c r="E191" s="235"/>
      <c r="F191" s="236"/>
      <c r="G191" s="239"/>
      <c r="H191" s="248"/>
      <c r="I191" s="234"/>
      <c r="J191" s="235"/>
      <c r="K191" s="235"/>
      <c r="L191" s="235"/>
      <c r="M191" s="236"/>
      <c r="N191" s="239"/>
      <c r="O191" s="520"/>
      <c r="P191" s="234" t="s">
        <v>226</v>
      </c>
      <c r="Q191" s="235"/>
      <c r="R191" s="235"/>
      <c r="S191" s="235"/>
      <c r="T191" s="236">
        <f t="shared" si="40"/>
        <v>0</v>
      </c>
      <c r="U191" s="239"/>
      <c r="V191" s="520"/>
      <c r="W191" s="234" t="s">
        <v>226</v>
      </c>
      <c r="X191" s="235">
        <f t="shared" si="37"/>
        <v>0</v>
      </c>
      <c r="Y191" s="235">
        <f t="shared" si="35"/>
        <v>0</v>
      </c>
      <c r="Z191" s="235">
        <f t="shared" si="43"/>
        <v>0</v>
      </c>
      <c r="AA191" s="247">
        <f t="shared" si="41"/>
        <v>0</v>
      </c>
      <c r="AB191" s="250"/>
      <c r="AC191" s="520"/>
      <c r="AD191" s="234" t="s">
        <v>226</v>
      </c>
      <c r="AE191" s="235">
        <f>AE190-AG190</f>
        <v>0</v>
      </c>
      <c r="AF191" s="235">
        <f t="shared" si="36"/>
        <v>0</v>
      </c>
      <c r="AG191" s="235">
        <f>AE$7/AF$8</f>
        <v>0</v>
      </c>
      <c r="AH191" s="247">
        <f t="shared" si="42"/>
        <v>0</v>
      </c>
      <c r="AI191" s="250"/>
      <c r="AK191" s="240"/>
    </row>
    <row r="192" spans="1:37" hidden="1" x14ac:dyDescent="0.2">
      <c r="A192" s="248"/>
      <c r="B192" s="234"/>
      <c r="C192" s="235"/>
      <c r="D192" s="235"/>
      <c r="E192" s="235"/>
      <c r="F192" s="236"/>
      <c r="G192" s="239"/>
      <c r="H192" s="248"/>
      <c r="I192" s="234"/>
      <c r="J192" s="235"/>
      <c r="K192" s="235"/>
      <c r="L192" s="235"/>
      <c r="M192" s="236"/>
      <c r="N192" s="239"/>
      <c r="O192" s="520"/>
      <c r="P192" s="234" t="s">
        <v>227</v>
      </c>
      <c r="Q192" s="235"/>
      <c r="R192" s="235"/>
      <c r="S192" s="235"/>
      <c r="T192" s="236">
        <f t="shared" si="40"/>
        <v>0</v>
      </c>
      <c r="U192" s="239"/>
      <c r="V192" s="520"/>
      <c r="W192" s="234" t="s">
        <v>227</v>
      </c>
      <c r="X192" s="235">
        <f t="shared" si="37"/>
        <v>0</v>
      </c>
      <c r="Y192" s="235">
        <f t="shared" si="35"/>
        <v>0</v>
      </c>
      <c r="Z192" s="235">
        <f t="shared" si="43"/>
        <v>0</v>
      </c>
      <c r="AA192" s="247">
        <f t="shared" si="41"/>
        <v>0</v>
      </c>
      <c r="AB192" s="250"/>
      <c r="AC192" s="520"/>
      <c r="AD192" s="234" t="s">
        <v>227</v>
      </c>
      <c r="AE192" s="235">
        <f t="shared" ref="AE192:AE203" si="44">AE191-AG191</f>
        <v>0</v>
      </c>
      <c r="AF192" s="235">
        <f t="shared" si="36"/>
        <v>0</v>
      </c>
      <c r="AG192" s="235">
        <f t="shared" ref="AG192:AG255" si="45">AE$7/AF$8</f>
        <v>0</v>
      </c>
      <c r="AH192" s="247">
        <f t="shared" si="42"/>
        <v>0</v>
      </c>
      <c r="AI192" s="250"/>
      <c r="AK192" s="240"/>
    </row>
    <row r="193" spans="1:37" hidden="1" x14ac:dyDescent="0.2">
      <c r="A193" s="248"/>
      <c r="B193" s="234"/>
      <c r="C193" s="235"/>
      <c r="D193" s="235"/>
      <c r="E193" s="235"/>
      <c r="F193" s="236"/>
      <c r="G193" s="239"/>
      <c r="H193" s="248"/>
      <c r="I193" s="234"/>
      <c r="J193" s="235"/>
      <c r="K193" s="235"/>
      <c r="L193" s="235"/>
      <c r="M193" s="236"/>
      <c r="N193" s="239"/>
      <c r="O193" s="520"/>
      <c r="P193" s="234" t="s">
        <v>228</v>
      </c>
      <c r="Q193" s="235"/>
      <c r="R193" s="235"/>
      <c r="S193" s="235"/>
      <c r="T193" s="236">
        <f t="shared" si="40"/>
        <v>0</v>
      </c>
      <c r="U193" s="239"/>
      <c r="V193" s="520"/>
      <c r="W193" s="234" t="s">
        <v>228</v>
      </c>
      <c r="X193" s="235">
        <f t="shared" si="37"/>
        <v>0</v>
      </c>
      <c r="Y193" s="235">
        <f t="shared" si="35"/>
        <v>0</v>
      </c>
      <c r="Z193" s="235">
        <f t="shared" si="43"/>
        <v>0</v>
      </c>
      <c r="AA193" s="247">
        <f t="shared" si="41"/>
        <v>0</v>
      </c>
      <c r="AB193" s="250"/>
      <c r="AC193" s="520"/>
      <c r="AD193" s="234" t="s">
        <v>228</v>
      </c>
      <c r="AE193" s="235">
        <f t="shared" si="44"/>
        <v>0</v>
      </c>
      <c r="AF193" s="235">
        <f t="shared" si="36"/>
        <v>0</v>
      </c>
      <c r="AG193" s="235">
        <f t="shared" si="45"/>
        <v>0</v>
      </c>
      <c r="AH193" s="247">
        <f t="shared" si="42"/>
        <v>0</v>
      </c>
      <c r="AI193" s="250"/>
      <c r="AK193" s="240"/>
    </row>
    <row r="194" spans="1:37" hidden="1" x14ac:dyDescent="0.2">
      <c r="A194" s="248"/>
      <c r="B194" s="234"/>
      <c r="C194" s="235"/>
      <c r="D194" s="235"/>
      <c r="E194" s="235"/>
      <c r="F194" s="236"/>
      <c r="G194" s="239"/>
      <c r="H194" s="248"/>
      <c r="I194" s="234"/>
      <c r="J194" s="235"/>
      <c r="K194" s="235"/>
      <c r="L194" s="235"/>
      <c r="M194" s="236"/>
      <c r="N194" s="239"/>
      <c r="O194" s="520"/>
      <c r="P194" s="234" t="s">
        <v>229</v>
      </c>
      <c r="Q194" s="235"/>
      <c r="R194" s="235"/>
      <c r="S194" s="235"/>
      <c r="T194" s="236">
        <f t="shared" si="40"/>
        <v>0</v>
      </c>
      <c r="U194" s="239"/>
      <c r="V194" s="520"/>
      <c r="W194" s="234" t="s">
        <v>229</v>
      </c>
      <c r="X194" s="235">
        <f t="shared" si="37"/>
        <v>0</v>
      </c>
      <c r="Y194" s="235">
        <f t="shared" si="35"/>
        <v>0</v>
      </c>
      <c r="Z194" s="235">
        <f t="shared" si="43"/>
        <v>0</v>
      </c>
      <c r="AA194" s="247">
        <f t="shared" si="41"/>
        <v>0</v>
      </c>
      <c r="AB194" s="250"/>
      <c r="AC194" s="520"/>
      <c r="AD194" s="234" t="s">
        <v>229</v>
      </c>
      <c r="AE194" s="235">
        <f t="shared" si="44"/>
        <v>0</v>
      </c>
      <c r="AF194" s="235">
        <f t="shared" si="36"/>
        <v>0</v>
      </c>
      <c r="AG194" s="235">
        <f t="shared" si="45"/>
        <v>0</v>
      </c>
      <c r="AH194" s="247">
        <f t="shared" si="42"/>
        <v>0</v>
      </c>
      <c r="AI194" s="250"/>
      <c r="AK194" s="240"/>
    </row>
    <row r="195" spans="1:37" hidden="1" x14ac:dyDescent="0.2">
      <c r="A195" s="248"/>
      <c r="B195" s="234"/>
      <c r="C195" s="235"/>
      <c r="D195" s="235"/>
      <c r="E195" s="235"/>
      <c r="F195" s="236"/>
      <c r="G195" s="239"/>
      <c r="H195" s="248"/>
      <c r="I195" s="234"/>
      <c r="J195" s="235"/>
      <c r="K195" s="235"/>
      <c r="L195" s="235"/>
      <c r="M195" s="236"/>
      <c r="N195" s="239"/>
      <c r="O195" s="520"/>
      <c r="P195" s="234" t="s">
        <v>230</v>
      </c>
      <c r="Q195" s="235"/>
      <c r="R195" s="235"/>
      <c r="S195" s="235"/>
      <c r="T195" s="236">
        <f t="shared" si="40"/>
        <v>0</v>
      </c>
      <c r="U195" s="239"/>
      <c r="V195" s="520"/>
      <c r="W195" s="234" t="s">
        <v>230</v>
      </c>
      <c r="X195" s="235">
        <f t="shared" si="37"/>
        <v>0</v>
      </c>
      <c r="Y195" s="235">
        <f t="shared" si="35"/>
        <v>0</v>
      </c>
      <c r="Z195" s="235">
        <f t="shared" si="43"/>
        <v>0</v>
      </c>
      <c r="AA195" s="247">
        <f t="shared" si="41"/>
        <v>0</v>
      </c>
      <c r="AB195" s="250"/>
      <c r="AC195" s="520"/>
      <c r="AD195" s="234" t="s">
        <v>230</v>
      </c>
      <c r="AE195" s="235">
        <f t="shared" si="44"/>
        <v>0</v>
      </c>
      <c r="AF195" s="235">
        <f t="shared" si="36"/>
        <v>0</v>
      </c>
      <c r="AG195" s="235">
        <f t="shared" si="45"/>
        <v>0</v>
      </c>
      <c r="AH195" s="247">
        <f t="shared" si="42"/>
        <v>0</v>
      </c>
      <c r="AI195" s="250"/>
      <c r="AK195" s="240"/>
    </row>
    <row r="196" spans="1:37" hidden="1" x14ac:dyDescent="0.2">
      <c r="A196" s="248"/>
      <c r="B196" s="234"/>
      <c r="C196" s="235"/>
      <c r="D196" s="235"/>
      <c r="E196" s="235"/>
      <c r="F196" s="236"/>
      <c r="G196" s="239"/>
      <c r="H196" s="248"/>
      <c r="I196" s="234"/>
      <c r="J196" s="235"/>
      <c r="K196" s="235"/>
      <c r="L196" s="235"/>
      <c r="M196" s="236"/>
      <c r="N196" s="239"/>
      <c r="O196" s="520"/>
      <c r="P196" s="234" t="s">
        <v>231</v>
      </c>
      <c r="Q196" s="235"/>
      <c r="R196" s="235"/>
      <c r="S196" s="235"/>
      <c r="T196" s="236">
        <f t="shared" si="40"/>
        <v>0</v>
      </c>
      <c r="U196" s="239"/>
      <c r="V196" s="520"/>
      <c r="W196" s="234" t="s">
        <v>231</v>
      </c>
      <c r="X196" s="235">
        <f t="shared" si="37"/>
        <v>0</v>
      </c>
      <c r="Y196" s="235">
        <f t="shared" si="35"/>
        <v>0</v>
      </c>
      <c r="Z196" s="235">
        <f t="shared" si="43"/>
        <v>0</v>
      </c>
      <c r="AA196" s="247">
        <f t="shared" si="41"/>
        <v>0</v>
      </c>
      <c r="AB196" s="250"/>
      <c r="AC196" s="520"/>
      <c r="AD196" s="234" t="s">
        <v>231</v>
      </c>
      <c r="AE196" s="235">
        <f t="shared" si="44"/>
        <v>0</v>
      </c>
      <c r="AF196" s="235">
        <f t="shared" si="36"/>
        <v>0</v>
      </c>
      <c r="AG196" s="235">
        <f t="shared" si="45"/>
        <v>0</v>
      </c>
      <c r="AH196" s="247">
        <f t="shared" si="42"/>
        <v>0</v>
      </c>
      <c r="AI196" s="250"/>
      <c r="AK196" s="240"/>
    </row>
    <row r="197" spans="1:37" hidden="1" x14ac:dyDescent="0.2">
      <c r="A197" s="248"/>
      <c r="B197" s="234"/>
      <c r="C197" s="235"/>
      <c r="D197" s="235"/>
      <c r="E197" s="235"/>
      <c r="F197" s="236"/>
      <c r="G197" s="239"/>
      <c r="H197" s="248"/>
      <c r="I197" s="234"/>
      <c r="J197" s="235"/>
      <c r="K197" s="235"/>
      <c r="L197" s="235"/>
      <c r="M197" s="236"/>
      <c r="N197" s="239"/>
      <c r="O197" s="520"/>
      <c r="P197" s="234" t="s">
        <v>232</v>
      </c>
      <c r="Q197" s="235"/>
      <c r="R197" s="235"/>
      <c r="S197" s="235"/>
      <c r="T197" s="236">
        <f t="shared" si="40"/>
        <v>0</v>
      </c>
      <c r="U197" s="239"/>
      <c r="V197" s="520"/>
      <c r="W197" s="234" t="s">
        <v>232</v>
      </c>
      <c r="X197" s="235">
        <f t="shared" si="37"/>
        <v>0</v>
      </c>
      <c r="Y197" s="235">
        <f t="shared" si="35"/>
        <v>0</v>
      </c>
      <c r="Z197" s="235">
        <f t="shared" si="43"/>
        <v>0</v>
      </c>
      <c r="AA197" s="247">
        <f t="shared" si="41"/>
        <v>0</v>
      </c>
      <c r="AB197" s="250"/>
      <c r="AC197" s="520"/>
      <c r="AD197" s="234" t="s">
        <v>232</v>
      </c>
      <c r="AE197" s="235">
        <f t="shared" si="44"/>
        <v>0</v>
      </c>
      <c r="AF197" s="235">
        <f t="shared" si="36"/>
        <v>0</v>
      </c>
      <c r="AG197" s="235">
        <f t="shared" si="45"/>
        <v>0</v>
      </c>
      <c r="AH197" s="247">
        <f t="shared" si="42"/>
        <v>0</v>
      </c>
      <c r="AI197" s="250"/>
      <c r="AK197" s="240"/>
    </row>
    <row r="198" spans="1:37" hidden="1" x14ac:dyDescent="0.2">
      <c r="A198" s="248"/>
      <c r="B198" s="234"/>
      <c r="C198" s="235"/>
      <c r="D198" s="235"/>
      <c r="E198" s="235"/>
      <c r="F198" s="236"/>
      <c r="G198" s="239"/>
      <c r="H198" s="248"/>
      <c r="I198" s="234"/>
      <c r="J198" s="235"/>
      <c r="K198" s="235"/>
      <c r="L198" s="235"/>
      <c r="M198" s="236"/>
      <c r="N198" s="239"/>
      <c r="O198" s="520"/>
      <c r="P198" s="234" t="s">
        <v>233</v>
      </c>
      <c r="Q198" s="235"/>
      <c r="R198" s="235"/>
      <c r="S198" s="235"/>
      <c r="T198" s="236">
        <f t="shared" si="40"/>
        <v>0</v>
      </c>
      <c r="U198" s="239"/>
      <c r="V198" s="520"/>
      <c r="W198" s="234" t="s">
        <v>233</v>
      </c>
      <c r="X198" s="235">
        <f t="shared" si="37"/>
        <v>0</v>
      </c>
      <c r="Y198" s="235">
        <f t="shared" si="35"/>
        <v>0</v>
      </c>
      <c r="Z198" s="235">
        <f t="shared" si="43"/>
        <v>0</v>
      </c>
      <c r="AA198" s="247">
        <f t="shared" si="41"/>
        <v>0</v>
      </c>
      <c r="AB198" s="250"/>
      <c r="AC198" s="520"/>
      <c r="AD198" s="234" t="s">
        <v>233</v>
      </c>
      <c r="AE198" s="235">
        <f t="shared" si="44"/>
        <v>0</v>
      </c>
      <c r="AF198" s="235">
        <f t="shared" si="36"/>
        <v>0</v>
      </c>
      <c r="AG198" s="235">
        <f t="shared" si="45"/>
        <v>0</v>
      </c>
      <c r="AH198" s="247">
        <f t="shared" si="42"/>
        <v>0</v>
      </c>
      <c r="AI198" s="250"/>
      <c r="AK198" s="240"/>
    </row>
    <row r="199" spans="1:37" hidden="1" x14ac:dyDescent="0.2">
      <c r="A199" s="248"/>
      <c r="B199" s="234"/>
      <c r="C199" s="235"/>
      <c r="D199" s="235"/>
      <c r="E199" s="235"/>
      <c r="F199" s="236"/>
      <c r="G199" s="239"/>
      <c r="H199" s="248"/>
      <c r="I199" s="234"/>
      <c r="J199" s="235"/>
      <c r="K199" s="235"/>
      <c r="L199" s="235"/>
      <c r="M199" s="236"/>
      <c r="N199" s="239"/>
      <c r="O199" s="520"/>
      <c r="P199" s="234" t="s">
        <v>234</v>
      </c>
      <c r="Q199" s="235"/>
      <c r="R199" s="235"/>
      <c r="S199" s="235"/>
      <c r="T199" s="236">
        <f t="shared" si="40"/>
        <v>0</v>
      </c>
      <c r="U199" s="239"/>
      <c r="V199" s="520"/>
      <c r="W199" s="234" t="s">
        <v>234</v>
      </c>
      <c r="X199" s="235">
        <f t="shared" si="37"/>
        <v>0</v>
      </c>
      <c r="Y199" s="235">
        <f t="shared" si="35"/>
        <v>0</v>
      </c>
      <c r="Z199" s="235">
        <f t="shared" si="43"/>
        <v>0</v>
      </c>
      <c r="AA199" s="247">
        <f t="shared" si="41"/>
        <v>0</v>
      </c>
      <c r="AB199" s="250"/>
      <c r="AC199" s="520"/>
      <c r="AD199" s="234" t="s">
        <v>234</v>
      </c>
      <c r="AE199" s="235">
        <f t="shared" si="44"/>
        <v>0</v>
      </c>
      <c r="AF199" s="235">
        <f t="shared" si="36"/>
        <v>0</v>
      </c>
      <c r="AG199" s="235">
        <f t="shared" si="45"/>
        <v>0</v>
      </c>
      <c r="AH199" s="247">
        <f t="shared" si="42"/>
        <v>0</v>
      </c>
      <c r="AI199" s="250"/>
      <c r="AK199" s="240"/>
    </row>
    <row r="200" spans="1:37" hidden="1" x14ac:dyDescent="0.2">
      <c r="A200" s="248"/>
      <c r="B200" s="234"/>
      <c r="C200" s="235"/>
      <c r="D200" s="235"/>
      <c r="E200" s="235"/>
      <c r="F200" s="236"/>
      <c r="G200" s="239"/>
      <c r="H200" s="248"/>
      <c r="I200" s="234"/>
      <c r="J200" s="235"/>
      <c r="K200" s="235"/>
      <c r="L200" s="235"/>
      <c r="M200" s="236"/>
      <c r="N200" s="239"/>
      <c r="O200" s="520"/>
      <c r="P200" s="234" t="s">
        <v>235</v>
      </c>
      <c r="Q200" s="235"/>
      <c r="R200" s="235"/>
      <c r="S200" s="235"/>
      <c r="T200" s="236">
        <f t="shared" si="40"/>
        <v>0</v>
      </c>
      <c r="U200" s="239"/>
      <c r="V200" s="520"/>
      <c r="W200" s="234" t="s">
        <v>235</v>
      </c>
      <c r="X200" s="235">
        <f t="shared" si="37"/>
        <v>0</v>
      </c>
      <c r="Y200" s="235">
        <f t="shared" si="35"/>
        <v>0</v>
      </c>
      <c r="Z200" s="235">
        <f t="shared" si="43"/>
        <v>0</v>
      </c>
      <c r="AA200" s="247">
        <f t="shared" si="41"/>
        <v>0</v>
      </c>
      <c r="AB200" s="250"/>
      <c r="AC200" s="520"/>
      <c r="AD200" s="234" t="s">
        <v>235</v>
      </c>
      <c r="AE200" s="235">
        <f t="shared" si="44"/>
        <v>0</v>
      </c>
      <c r="AF200" s="235">
        <f t="shared" si="36"/>
        <v>0</v>
      </c>
      <c r="AG200" s="235">
        <f t="shared" si="45"/>
        <v>0</v>
      </c>
      <c r="AH200" s="247">
        <f t="shared" si="42"/>
        <v>0</v>
      </c>
      <c r="AI200" s="250"/>
      <c r="AK200" s="240"/>
    </row>
    <row r="201" spans="1:37" hidden="1" x14ac:dyDescent="0.2">
      <c r="A201" s="248"/>
      <c r="B201" s="234"/>
      <c r="C201" s="235"/>
      <c r="D201" s="235"/>
      <c r="E201" s="235"/>
      <c r="F201" s="236"/>
      <c r="G201" s="239"/>
      <c r="H201" s="248"/>
      <c r="I201" s="234"/>
      <c r="J201" s="235"/>
      <c r="K201" s="235"/>
      <c r="L201" s="235"/>
      <c r="M201" s="236"/>
      <c r="N201" s="239"/>
      <c r="O201" s="521"/>
      <c r="P201" s="234" t="s">
        <v>236</v>
      </c>
      <c r="Q201" s="235"/>
      <c r="R201" s="235"/>
      <c r="S201" s="235"/>
      <c r="T201" s="236">
        <f t="shared" si="40"/>
        <v>0</v>
      </c>
      <c r="U201" s="239"/>
      <c r="V201" s="521"/>
      <c r="W201" s="234" t="s">
        <v>236</v>
      </c>
      <c r="X201" s="235">
        <f t="shared" si="37"/>
        <v>0</v>
      </c>
      <c r="Y201" s="235">
        <f t="shared" si="35"/>
        <v>0</v>
      </c>
      <c r="Z201" s="235">
        <f t="shared" si="43"/>
        <v>0</v>
      </c>
      <c r="AA201" s="247">
        <f t="shared" si="41"/>
        <v>0</v>
      </c>
      <c r="AB201" s="251">
        <f>SUM(Y190:Y201)</f>
        <v>0</v>
      </c>
      <c r="AC201" s="521"/>
      <c r="AD201" s="234" t="s">
        <v>236</v>
      </c>
      <c r="AE201" s="235">
        <f t="shared" si="44"/>
        <v>0</v>
      </c>
      <c r="AF201" s="235">
        <f t="shared" si="36"/>
        <v>0</v>
      </c>
      <c r="AG201" s="235">
        <f t="shared" si="45"/>
        <v>0</v>
      </c>
      <c r="AH201" s="247">
        <f t="shared" si="42"/>
        <v>0</v>
      </c>
      <c r="AI201" s="251">
        <f>SUM(AF190:AF201)</f>
        <v>0</v>
      </c>
      <c r="AJ201" s="208">
        <f>O190</f>
        <v>2036</v>
      </c>
      <c r="AK201" s="240">
        <f>G201+N201+U201+AB201+AI201</f>
        <v>0</v>
      </c>
    </row>
    <row r="202" spans="1:37" hidden="1" x14ac:dyDescent="0.2">
      <c r="A202" s="248"/>
      <c r="B202" s="234"/>
      <c r="C202" s="235"/>
      <c r="D202" s="235"/>
      <c r="E202" s="235"/>
      <c r="F202" s="236"/>
      <c r="G202" s="239"/>
      <c r="H202" s="248"/>
      <c r="I202" s="234"/>
      <c r="J202" s="235"/>
      <c r="K202" s="235"/>
      <c r="L202" s="235"/>
      <c r="M202" s="236"/>
      <c r="N202" s="239"/>
      <c r="O202" s="252"/>
      <c r="P202" s="234"/>
      <c r="Q202" s="235"/>
      <c r="R202" s="235"/>
      <c r="S202" s="235"/>
      <c r="T202" s="236"/>
      <c r="U202" s="239"/>
      <c r="V202" s="519">
        <v>2037</v>
      </c>
      <c r="W202" s="234" t="s">
        <v>225</v>
      </c>
      <c r="X202" s="235">
        <f t="shared" si="37"/>
        <v>0</v>
      </c>
      <c r="Y202" s="235">
        <f t="shared" si="35"/>
        <v>0</v>
      </c>
      <c r="Z202" s="235">
        <f t="shared" si="43"/>
        <v>0</v>
      </c>
      <c r="AA202" s="247">
        <f t="shared" si="41"/>
        <v>0</v>
      </c>
      <c r="AB202" s="237"/>
      <c r="AC202" s="519">
        <v>2037</v>
      </c>
      <c r="AD202" s="234" t="s">
        <v>225</v>
      </c>
      <c r="AE202" s="235">
        <f t="shared" si="44"/>
        <v>0</v>
      </c>
      <c r="AF202" s="235">
        <f t="shared" si="36"/>
        <v>0</v>
      </c>
      <c r="AG202" s="235">
        <f t="shared" si="45"/>
        <v>0</v>
      </c>
      <c r="AH202" s="247">
        <f t="shared" si="42"/>
        <v>0</v>
      </c>
      <c r="AI202" s="237"/>
      <c r="AK202" s="240"/>
    </row>
    <row r="203" spans="1:37" hidden="1" x14ac:dyDescent="0.2">
      <c r="A203" s="248"/>
      <c r="B203" s="234"/>
      <c r="C203" s="235"/>
      <c r="D203" s="235"/>
      <c r="E203" s="235"/>
      <c r="F203" s="236"/>
      <c r="G203" s="239"/>
      <c r="H203" s="248"/>
      <c r="I203" s="234"/>
      <c r="J203" s="235"/>
      <c r="K203" s="235"/>
      <c r="L203" s="235"/>
      <c r="M203" s="236"/>
      <c r="N203" s="239"/>
      <c r="O203" s="252"/>
      <c r="P203" s="234"/>
      <c r="Q203" s="235"/>
      <c r="R203" s="235"/>
      <c r="S203" s="235"/>
      <c r="T203" s="236"/>
      <c r="U203" s="239"/>
      <c r="V203" s="520"/>
      <c r="W203" s="234" t="s">
        <v>226</v>
      </c>
      <c r="X203" s="235">
        <f t="shared" si="37"/>
        <v>0</v>
      </c>
      <c r="Y203" s="235">
        <f t="shared" si="35"/>
        <v>0</v>
      </c>
      <c r="Z203" s="235">
        <f t="shared" si="43"/>
        <v>0</v>
      </c>
      <c r="AA203" s="247">
        <f t="shared" si="41"/>
        <v>0</v>
      </c>
      <c r="AB203" s="238"/>
      <c r="AC203" s="520"/>
      <c r="AD203" s="234" t="s">
        <v>226</v>
      </c>
      <c r="AE203" s="235">
        <f t="shared" si="44"/>
        <v>0</v>
      </c>
      <c r="AF203" s="235">
        <f t="shared" si="36"/>
        <v>0</v>
      </c>
      <c r="AG203" s="235">
        <f t="shared" si="45"/>
        <v>0</v>
      </c>
      <c r="AH203" s="247">
        <f t="shared" si="42"/>
        <v>0</v>
      </c>
      <c r="AI203" s="238"/>
      <c r="AK203" s="240"/>
    </row>
    <row r="204" spans="1:37" hidden="1" x14ac:dyDescent="0.2">
      <c r="A204" s="248"/>
      <c r="B204" s="234"/>
      <c r="C204" s="235"/>
      <c r="D204" s="235"/>
      <c r="E204" s="235"/>
      <c r="F204" s="236"/>
      <c r="G204" s="239"/>
      <c r="H204" s="248"/>
      <c r="I204" s="234"/>
      <c r="J204" s="235"/>
      <c r="K204" s="235"/>
      <c r="L204" s="235"/>
      <c r="M204" s="236"/>
      <c r="N204" s="239"/>
      <c r="O204" s="252"/>
      <c r="P204" s="234"/>
      <c r="Q204" s="235"/>
      <c r="R204" s="235"/>
      <c r="S204" s="235"/>
      <c r="T204" s="236"/>
      <c r="U204" s="239"/>
      <c r="V204" s="520"/>
      <c r="W204" s="234" t="s">
        <v>227</v>
      </c>
      <c r="X204" s="235">
        <f t="shared" si="37"/>
        <v>0</v>
      </c>
      <c r="Y204" s="235">
        <f t="shared" si="35"/>
        <v>0</v>
      </c>
      <c r="Z204" s="235">
        <f t="shared" si="43"/>
        <v>0</v>
      </c>
      <c r="AA204" s="247">
        <f t="shared" si="41"/>
        <v>0</v>
      </c>
      <c r="AB204" s="238"/>
      <c r="AC204" s="520"/>
      <c r="AD204" s="234" t="s">
        <v>227</v>
      </c>
      <c r="AE204" s="235">
        <f>AE203-AG203</f>
        <v>0</v>
      </c>
      <c r="AF204" s="235">
        <f t="shared" si="36"/>
        <v>0</v>
      </c>
      <c r="AG204" s="235">
        <f t="shared" si="45"/>
        <v>0</v>
      </c>
      <c r="AH204" s="247">
        <f t="shared" si="42"/>
        <v>0</v>
      </c>
      <c r="AI204" s="238"/>
      <c r="AK204" s="240"/>
    </row>
    <row r="205" spans="1:37" hidden="1" x14ac:dyDescent="0.2">
      <c r="A205" s="248"/>
      <c r="B205" s="234"/>
      <c r="C205" s="235"/>
      <c r="D205" s="235"/>
      <c r="E205" s="235"/>
      <c r="F205" s="236"/>
      <c r="G205" s="239"/>
      <c r="H205" s="248"/>
      <c r="I205" s="234"/>
      <c r="J205" s="235"/>
      <c r="K205" s="235"/>
      <c r="L205" s="235"/>
      <c r="M205" s="236"/>
      <c r="N205" s="239"/>
      <c r="O205" s="252"/>
      <c r="P205" s="234"/>
      <c r="Q205" s="235"/>
      <c r="R205" s="235"/>
      <c r="S205" s="235"/>
      <c r="T205" s="236"/>
      <c r="U205" s="239"/>
      <c r="V205" s="520"/>
      <c r="W205" s="234" t="s">
        <v>228</v>
      </c>
      <c r="X205" s="235">
        <f t="shared" si="37"/>
        <v>0</v>
      </c>
      <c r="Y205" s="235">
        <f t="shared" si="35"/>
        <v>0</v>
      </c>
      <c r="Z205" s="235">
        <f t="shared" si="43"/>
        <v>0</v>
      </c>
      <c r="AA205" s="247">
        <f t="shared" si="41"/>
        <v>0</v>
      </c>
      <c r="AB205" s="238"/>
      <c r="AC205" s="520"/>
      <c r="AD205" s="234" t="s">
        <v>228</v>
      </c>
      <c r="AE205" s="235">
        <f>AE204-AG204</f>
        <v>0</v>
      </c>
      <c r="AF205" s="235">
        <f t="shared" si="36"/>
        <v>0</v>
      </c>
      <c r="AG205" s="235">
        <f t="shared" si="45"/>
        <v>0</v>
      </c>
      <c r="AH205" s="247">
        <f t="shared" si="42"/>
        <v>0</v>
      </c>
      <c r="AI205" s="238"/>
      <c r="AK205" s="240"/>
    </row>
    <row r="206" spans="1:37" hidden="1" x14ac:dyDescent="0.2">
      <c r="A206" s="248"/>
      <c r="B206" s="234"/>
      <c r="C206" s="235"/>
      <c r="D206" s="235"/>
      <c r="E206" s="235"/>
      <c r="F206" s="236"/>
      <c r="G206" s="239"/>
      <c r="H206" s="248"/>
      <c r="I206" s="234"/>
      <c r="J206" s="235"/>
      <c r="K206" s="235"/>
      <c r="L206" s="235"/>
      <c r="M206" s="236"/>
      <c r="N206" s="239"/>
      <c r="O206" s="252"/>
      <c r="P206" s="234"/>
      <c r="Q206" s="235"/>
      <c r="R206" s="235"/>
      <c r="S206" s="235"/>
      <c r="T206" s="236"/>
      <c r="U206" s="239"/>
      <c r="V206" s="520"/>
      <c r="W206" s="234" t="s">
        <v>229</v>
      </c>
      <c r="X206" s="235">
        <f t="shared" si="37"/>
        <v>0</v>
      </c>
      <c r="Y206" s="235">
        <f t="shared" si="35"/>
        <v>0</v>
      </c>
      <c r="Z206" s="235">
        <f t="shared" si="43"/>
        <v>0</v>
      </c>
      <c r="AA206" s="247">
        <f t="shared" si="41"/>
        <v>0</v>
      </c>
      <c r="AB206" s="238"/>
      <c r="AC206" s="520"/>
      <c r="AD206" s="234" t="s">
        <v>229</v>
      </c>
      <c r="AE206" s="235">
        <f>AE205-AG205</f>
        <v>0</v>
      </c>
      <c r="AF206" s="235">
        <f t="shared" si="36"/>
        <v>0</v>
      </c>
      <c r="AG206" s="235">
        <f t="shared" si="45"/>
        <v>0</v>
      </c>
      <c r="AH206" s="247">
        <f t="shared" si="42"/>
        <v>0</v>
      </c>
      <c r="AI206" s="238"/>
      <c r="AK206" s="240"/>
    </row>
    <row r="207" spans="1:37" hidden="1" x14ac:dyDescent="0.2">
      <c r="A207" s="248"/>
      <c r="B207" s="234"/>
      <c r="C207" s="235"/>
      <c r="D207" s="235"/>
      <c r="E207" s="235"/>
      <c r="F207" s="236"/>
      <c r="G207" s="239"/>
      <c r="H207" s="248"/>
      <c r="I207" s="234"/>
      <c r="J207" s="235"/>
      <c r="K207" s="235"/>
      <c r="L207" s="235"/>
      <c r="M207" s="236"/>
      <c r="N207" s="239"/>
      <c r="O207" s="252"/>
      <c r="P207" s="234"/>
      <c r="Q207" s="235"/>
      <c r="R207" s="235"/>
      <c r="S207" s="235"/>
      <c r="T207" s="236"/>
      <c r="U207" s="239"/>
      <c r="V207" s="520"/>
      <c r="W207" s="234" t="s">
        <v>230</v>
      </c>
      <c r="X207" s="235">
        <f t="shared" si="37"/>
        <v>0</v>
      </c>
      <c r="Y207" s="235">
        <f t="shared" si="35"/>
        <v>0</v>
      </c>
      <c r="Z207" s="235">
        <f t="shared" si="43"/>
        <v>0</v>
      </c>
      <c r="AA207" s="247">
        <f t="shared" si="41"/>
        <v>0</v>
      </c>
      <c r="AB207" s="238"/>
      <c r="AC207" s="520"/>
      <c r="AD207" s="234" t="s">
        <v>230</v>
      </c>
      <c r="AE207" s="235">
        <f t="shared" ref="AE207:AE270" si="46">AE206-AG206</f>
        <v>0</v>
      </c>
      <c r="AF207" s="235">
        <f t="shared" si="36"/>
        <v>0</v>
      </c>
      <c r="AG207" s="235">
        <f t="shared" si="45"/>
        <v>0</v>
      </c>
      <c r="AH207" s="247">
        <f t="shared" si="42"/>
        <v>0</v>
      </c>
      <c r="AI207" s="238"/>
      <c r="AK207" s="240"/>
    </row>
    <row r="208" spans="1:37" hidden="1" x14ac:dyDescent="0.2">
      <c r="A208" s="248"/>
      <c r="B208" s="234"/>
      <c r="C208" s="235"/>
      <c r="D208" s="235"/>
      <c r="E208" s="235"/>
      <c r="F208" s="236"/>
      <c r="G208" s="239"/>
      <c r="H208" s="248"/>
      <c r="I208" s="234"/>
      <c r="J208" s="235"/>
      <c r="K208" s="235"/>
      <c r="L208" s="235"/>
      <c r="M208" s="236"/>
      <c r="N208" s="239"/>
      <c r="O208" s="252"/>
      <c r="P208" s="234"/>
      <c r="Q208" s="235"/>
      <c r="R208" s="235"/>
      <c r="S208" s="235"/>
      <c r="T208" s="236"/>
      <c r="U208" s="239"/>
      <c r="V208" s="520"/>
      <c r="W208" s="234" t="s">
        <v>231</v>
      </c>
      <c r="X208" s="235">
        <f t="shared" si="37"/>
        <v>0</v>
      </c>
      <c r="Y208" s="235">
        <f t="shared" si="35"/>
        <v>0</v>
      </c>
      <c r="Z208" s="235">
        <f t="shared" si="43"/>
        <v>0</v>
      </c>
      <c r="AA208" s="247">
        <f t="shared" si="41"/>
        <v>0</v>
      </c>
      <c r="AB208" s="238"/>
      <c r="AC208" s="520"/>
      <c r="AD208" s="234" t="s">
        <v>231</v>
      </c>
      <c r="AE208" s="235">
        <f t="shared" si="46"/>
        <v>0</v>
      </c>
      <c r="AF208" s="235">
        <f t="shared" si="36"/>
        <v>0</v>
      </c>
      <c r="AG208" s="235">
        <f t="shared" si="45"/>
        <v>0</v>
      </c>
      <c r="AH208" s="247">
        <f t="shared" si="42"/>
        <v>0</v>
      </c>
      <c r="AI208" s="238"/>
      <c r="AK208" s="240"/>
    </row>
    <row r="209" spans="1:37" hidden="1" x14ac:dyDescent="0.2">
      <c r="A209" s="248"/>
      <c r="B209" s="234"/>
      <c r="C209" s="235"/>
      <c r="D209" s="235"/>
      <c r="E209" s="235"/>
      <c r="F209" s="236"/>
      <c r="G209" s="239"/>
      <c r="H209" s="248"/>
      <c r="I209" s="234"/>
      <c r="J209" s="235"/>
      <c r="K209" s="235"/>
      <c r="L209" s="235"/>
      <c r="M209" s="236"/>
      <c r="N209" s="239"/>
      <c r="O209" s="252"/>
      <c r="P209" s="234"/>
      <c r="Q209" s="235"/>
      <c r="R209" s="235"/>
      <c r="S209" s="235"/>
      <c r="T209" s="236"/>
      <c r="U209" s="239"/>
      <c r="V209" s="520"/>
      <c r="W209" s="234" t="s">
        <v>232</v>
      </c>
      <c r="X209" s="235">
        <f t="shared" si="37"/>
        <v>0</v>
      </c>
      <c r="Y209" s="235">
        <f t="shared" si="35"/>
        <v>0</v>
      </c>
      <c r="Z209" s="235">
        <f t="shared" si="43"/>
        <v>0</v>
      </c>
      <c r="AA209" s="247">
        <f t="shared" si="41"/>
        <v>0</v>
      </c>
      <c r="AB209" s="238"/>
      <c r="AC209" s="520"/>
      <c r="AD209" s="234" t="s">
        <v>232</v>
      </c>
      <c r="AE209" s="235">
        <f t="shared" si="46"/>
        <v>0</v>
      </c>
      <c r="AF209" s="235">
        <f t="shared" si="36"/>
        <v>0</v>
      </c>
      <c r="AG209" s="235">
        <f t="shared" si="45"/>
        <v>0</v>
      </c>
      <c r="AH209" s="247">
        <f t="shared" si="42"/>
        <v>0</v>
      </c>
      <c r="AI209" s="238"/>
      <c r="AK209" s="240"/>
    </row>
    <row r="210" spans="1:37" hidden="1" x14ac:dyDescent="0.2">
      <c r="A210" s="248"/>
      <c r="B210" s="234"/>
      <c r="C210" s="235"/>
      <c r="D210" s="235"/>
      <c r="E210" s="235"/>
      <c r="F210" s="236"/>
      <c r="G210" s="239"/>
      <c r="H210" s="248"/>
      <c r="I210" s="234"/>
      <c r="J210" s="235"/>
      <c r="K210" s="235"/>
      <c r="L210" s="235"/>
      <c r="M210" s="236"/>
      <c r="N210" s="239"/>
      <c r="O210" s="252"/>
      <c r="P210" s="234"/>
      <c r="Q210" s="235"/>
      <c r="R210" s="235"/>
      <c r="S210" s="235"/>
      <c r="T210" s="236"/>
      <c r="U210" s="239"/>
      <c r="V210" s="520"/>
      <c r="W210" s="234" t="s">
        <v>233</v>
      </c>
      <c r="X210" s="235">
        <f t="shared" si="37"/>
        <v>0</v>
      </c>
      <c r="Y210" s="235">
        <f t="shared" si="35"/>
        <v>0</v>
      </c>
      <c r="Z210" s="235">
        <f t="shared" si="43"/>
        <v>0</v>
      </c>
      <c r="AA210" s="247">
        <f t="shared" si="41"/>
        <v>0</v>
      </c>
      <c r="AB210" s="238"/>
      <c r="AC210" s="520"/>
      <c r="AD210" s="234" t="s">
        <v>233</v>
      </c>
      <c r="AE210" s="235">
        <f t="shared" si="46"/>
        <v>0</v>
      </c>
      <c r="AF210" s="235">
        <f t="shared" si="36"/>
        <v>0</v>
      </c>
      <c r="AG210" s="235">
        <f t="shared" si="45"/>
        <v>0</v>
      </c>
      <c r="AH210" s="247">
        <f t="shared" si="42"/>
        <v>0</v>
      </c>
      <c r="AI210" s="238"/>
      <c r="AK210" s="240"/>
    </row>
    <row r="211" spans="1:37" hidden="1" x14ac:dyDescent="0.2">
      <c r="A211" s="248"/>
      <c r="B211" s="234"/>
      <c r="C211" s="235"/>
      <c r="D211" s="235"/>
      <c r="E211" s="235"/>
      <c r="F211" s="236"/>
      <c r="G211" s="239"/>
      <c r="H211" s="248"/>
      <c r="I211" s="234"/>
      <c r="J211" s="235"/>
      <c r="K211" s="235"/>
      <c r="L211" s="235"/>
      <c r="M211" s="236"/>
      <c r="N211" s="239"/>
      <c r="O211" s="252"/>
      <c r="P211" s="234"/>
      <c r="Q211" s="235"/>
      <c r="R211" s="235"/>
      <c r="S211" s="235"/>
      <c r="T211" s="236"/>
      <c r="U211" s="239"/>
      <c r="V211" s="520"/>
      <c r="W211" s="234" t="s">
        <v>234</v>
      </c>
      <c r="X211" s="235">
        <f t="shared" si="37"/>
        <v>0</v>
      </c>
      <c r="Y211" s="235">
        <f t="shared" si="35"/>
        <v>0</v>
      </c>
      <c r="Z211" s="235">
        <f t="shared" si="43"/>
        <v>0</v>
      </c>
      <c r="AA211" s="247">
        <f t="shared" si="41"/>
        <v>0</v>
      </c>
      <c r="AB211" s="238"/>
      <c r="AC211" s="520"/>
      <c r="AD211" s="234" t="s">
        <v>234</v>
      </c>
      <c r="AE211" s="235">
        <f t="shared" si="46"/>
        <v>0</v>
      </c>
      <c r="AF211" s="235">
        <f t="shared" si="36"/>
        <v>0</v>
      </c>
      <c r="AG211" s="235">
        <f t="shared" si="45"/>
        <v>0</v>
      </c>
      <c r="AH211" s="247">
        <f t="shared" si="42"/>
        <v>0</v>
      </c>
      <c r="AI211" s="238"/>
      <c r="AK211" s="240"/>
    </row>
    <row r="212" spans="1:37" hidden="1" x14ac:dyDescent="0.2">
      <c r="A212" s="248"/>
      <c r="B212" s="234"/>
      <c r="C212" s="235"/>
      <c r="D212" s="235"/>
      <c r="E212" s="235"/>
      <c r="F212" s="236"/>
      <c r="G212" s="239"/>
      <c r="H212" s="248"/>
      <c r="I212" s="234"/>
      <c r="J212" s="235"/>
      <c r="K212" s="235"/>
      <c r="L212" s="235"/>
      <c r="M212" s="236"/>
      <c r="N212" s="239"/>
      <c r="O212" s="252"/>
      <c r="P212" s="234"/>
      <c r="Q212" s="235"/>
      <c r="R212" s="235"/>
      <c r="S212" s="235"/>
      <c r="T212" s="236"/>
      <c r="U212" s="239"/>
      <c r="V212" s="520"/>
      <c r="W212" s="234" t="s">
        <v>235</v>
      </c>
      <c r="X212" s="235">
        <f t="shared" si="37"/>
        <v>0</v>
      </c>
      <c r="Y212" s="235">
        <f t="shared" si="35"/>
        <v>0</v>
      </c>
      <c r="Z212" s="235">
        <f t="shared" si="43"/>
        <v>0</v>
      </c>
      <c r="AA212" s="247">
        <f t="shared" si="41"/>
        <v>0</v>
      </c>
      <c r="AB212" s="238"/>
      <c r="AC212" s="520"/>
      <c r="AD212" s="234" t="s">
        <v>235</v>
      </c>
      <c r="AE212" s="235">
        <f t="shared" si="46"/>
        <v>0</v>
      </c>
      <c r="AF212" s="235">
        <f t="shared" si="36"/>
        <v>0</v>
      </c>
      <c r="AG212" s="235">
        <f t="shared" si="45"/>
        <v>0</v>
      </c>
      <c r="AH212" s="247">
        <f t="shared" si="42"/>
        <v>0</v>
      </c>
      <c r="AI212" s="238"/>
      <c r="AK212" s="240"/>
    </row>
    <row r="213" spans="1:37" hidden="1" x14ac:dyDescent="0.2">
      <c r="A213" s="248"/>
      <c r="B213" s="234"/>
      <c r="C213" s="235"/>
      <c r="D213" s="235"/>
      <c r="E213" s="235"/>
      <c r="F213" s="236"/>
      <c r="G213" s="239"/>
      <c r="H213" s="248"/>
      <c r="I213" s="234"/>
      <c r="J213" s="235"/>
      <c r="K213" s="235"/>
      <c r="L213" s="235"/>
      <c r="M213" s="236"/>
      <c r="N213" s="239"/>
      <c r="O213" s="252"/>
      <c r="P213" s="234"/>
      <c r="Q213" s="235"/>
      <c r="R213" s="235"/>
      <c r="S213" s="235"/>
      <c r="T213" s="236"/>
      <c r="U213" s="239"/>
      <c r="V213" s="521"/>
      <c r="W213" s="234" t="s">
        <v>236</v>
      </c>
      <c r="X213" s="235">
        <f t="shared" si="37"/>
        <v>0</v>
      </c>
      <c r="Y213" s="235">
        <f t="shared" si="35"/>
        <v>0</v>
      </c>
      <c r="Z213" s="235">
        <f t="shared" si="43"/>
        <v>0</v>
      </c>
      <c r="AA213" s="247">
        <f t="shared" si="41"/>
        <v>0</v>
      </c>
      <c r="AB213" s="239">
        <f>SUM(Y202:Y213)</f>
        <v>0</v>
      </c>
      <c r="AC213" s="521"/>
      <c r="AD213" s="234" t="s">
        <v>236</v>
      </c>
      <c r="AE213" s="235">
        <f t="shared" si="46"/>
        <v>0</v>
      </c>
      <c r="AF213" s="235">
        <f t="shared" si="36"/>
        <v>0</v>
      </c>
      <c r="AG213" s="235">
        <f t="shared" si="45"/>
        <v>0</v>
      </c>
      <c r="AH213" s="247">
        <f t="shared" si="42"/>
        <v>0</v>
      </c>
      <c r="AI213" s="239">
        <f>SUM(AF202:AF213)</f>
        <v>0</v>
      </c>
      <c r="AJ213" s="208">
        <f>V202</f>
        <v>2037</v>
      </c>
      <c r="AK213" s="240">
        <f>G213+N213+U213+AB213+AI213</f>
        <v>0</v>
      </c>
    </row>
    <row r="214" spans="1:37" hidden="1" x14ac:dyDescent="0.2">
      <c r="A214" s="248"/>
      <c r="B214" s="234"/>
      <c r="C214" s="235"/>
      <c r="D214" s="235"/>
      <c r="E214" s="235"/>
      <c r="F214" s="236"/>
      <c r="G214" s="239"/>
      <c r="H214" s="248"/>
      <c r="I214" s="234"/>
      <c r="J214" s="235"/>
      <c r="K214" s="235"/>
      <c r="L214" s="235"/>
      <c r="M214" s="236"/>
      <c r="N214" s="239"/>
      <c r="O214" s="252"/>
      <c r="P214" s="234"/>
      <c r="Q214" s="235"/>
      <c r="R214" s="235"/>
      <c r="S214" s="235"/>
      <c r="T214" s="236"/>
      <c r="U214" s="239"/>
      <c r="V214" s="519">
        <v>2038</v>
      </c>
      <c r="W214" s="234" t="s">
        <v>225</v>
      </c>
      <c r="X214" s="235">
        <f t="shared" si="37"/>
        <v>0</v>
      </c>
      <c r="Y214" s="235">
        <f t="shared" si="35"/>
        <v>0</v>
      </c>
      <c r="Z214" s="235">
        <f t="shared" si="43"/>
        <v>0</v>
      </c>
      <c r="AA214" s="247">
        <f t="shared" si="41"/>
        <v>0</v>
      </c>
      <c r="AB214" s="237"/>
      <c r="AC214" s="519">
        <v>2038</v>
      </c>
      <c r="AD214" s="234" t="s">
        <v>225</v>
      </c>
      <c r="AE214" s="235">
        <f t="shared" si="46"/>
        <v>0</v>
      </c>
      <c r="AF214" s="235">
        <f t="shared" si="36"/>
        <v>0</v>
      </c>
      <c r="AG214" s="235">
        <f t="shared" si="45"/>
        <v>0</v>
      </c>
      <c r="AH214" s="247">
        <f t="shared" si="42"/>
        <v>0</v>
      </c>
      <c r="AI214" s="237"/>
      <c r="AK214" s="240"/>
    </row>
    <row r="215" spans="1:37" hidden="1" x14ac:dyDescent="0.2">
      <c r="A215" s="248"/>
      <c r="B215" s="234"/>
      <c r="C215" s="235"/>
      <c r="D215" s="235"/>
      <c r="E215" s="235"/>
      <c r="F215" s="236"/>
      <c r="G215" s="239"/>
      <c r="H215" s="248"/>
      <c r="I215" s="234"/>
      <c r="J215" s="235"/>
      <c r="K215" s="235"/>
      <c r="L215" s="235"/>
      <c r="M215" s="236"/>
      <c r="N215" s="239"/>
      <c r="O215" s="252"/>
      <c r="P215" s="234"/>
      <c r="Q215" s="235"/>
      <c r="R215" s="235"/>
      <c r="S215" s="235"/>
      <c r="T215" s="236"/>
      <c r="U215" s="239"/>
      <c r="V215" s="520"/>
      <c r="W215" s="234" t="s">
        <v>226</v>
      </c>
      <c r="X215" s="235">
        <f t="shared" si="37"/>
        <v>0</v>
      </c>
      <c r="Y215" s="235">
        <f t="shared" si="35"/>
        <v>0</v>
      </c>
      <c r="Z215" s="235">
        <f t="shared" si="43"/>
        <v>0</v>
      </c>
      <c r="AA215" s="247">
        <f t="shared" si="41"/>
        <v>0</v>
      </c>
      <c r="AB215" s="238"/>
      <c r="AC215" s="520"/>
      <c r="AD215" s="234" t="s">
        <v>226</v>
      </c>
      <c r="AE215" s="235">
        <f t="shared" si="46"/>
        <v>0</v>
      </c>
      <c r="AF215" s="235">
        <f t="shared" si="36"/>
        <v>0</v>
      </c>
      <c r="AG215" s="235">
        <f t="shared" si="45"/>
        <v>0</v>
      </c>
      <c r="AH215" s="247">
        <f t="shared" si="42"/>
        <v>0</v>
      </c>
      <c r="AI215" s="238"/>
      <c r="AK215" s="240"/>
    </row>
    <row r="216" spans="1:37" hidden="1" x14ac:dyDescent="0.2">
      <c r="A216" s="248"/>
      <c r="B216" s="234"/>
      <c r="C216" s="235"/>
      <c r="D216" s="235"/>
      <c r="E216" s="235"/>
      <c r="F216" s="236"/>
      <c r="G216" s="239"/>
      <c r="H216" s="248"/>
      <c r="I216" s="234"/>
      <c r="J216" s="235"/>
      <c r="K216" s="235"/>
      <c r="L216" s="235"/>
      <c r="M216" s="236"/>
      <c r="N216" s="239"/>
      <c r="O216" s="252"/>
      <c r="P216" s="234"/>
      <c r="Q216" s="235"/>
      <c r="R216" s="235"/>
      <c r="S216" s="235"/>
      <c r="T216" s="236"/>
      <c r="U216" s="239"/>
      <c r="V216" s="520"/>
      <c r="W216" s="234" t="s">
        <v>227</v>
      </c>
      <c r="X216" s="235">
        <f t="shared" si="37"/>
        <v>0</v>
      </c>
      <c r="Y216" s="235">
        <f t="shared" si="35"/>
        <v>0</v>
      </c>
      <c r="Z216" s="235">
        <f t="shared" si="43"/>
        <v>0</v>
      </c>
      <c r="AA216" s="247">
        <f t="shared" si="41"/>
        <v>0</v>
      </c>
      <c r="AB216" s="238"/>
      <c r="AC216" s="520"/>
      <c r="AD216" s="234" t="s">
        <v>227</v>
      </c>
      <c r="AE216" s="235">
        <f t="shared" si="46"/>
        <v>0</v>
      </c>
      <c r="AF216" s="235">
        <f t="shared" si="36"/>
        <v>0</v>
      </c>
      <c r="AG216" s="235">
        <f t="shared" si="45"/>
        <v>0</v>
      </c>
      <c r="AH216" s="247">
        <f t="shared" si="42"/>
        <v>0</v>
      </c>
      <c r="AI216" s="238"/>
      <c r="AK216" s="240"/>
    </row>
    <row r="217" spans="1:37" hidden="1" x14ac:dyDescent="0.2">
      <c r="A217" s="248"/>
      <c r="B217" s="234"/>
      <c r="C217" s="235"/>
      <c r="D217" s="235"/>
      <c r="E217" s="235"/>
      <c r="F217" s="236"/>
      <c r="G217" s="239"/>
      <c r="H217" s="248"/>
      <c r="I217" s="234"/>
      <c r="J217" s="235"/>
      <c r="K217" s="235"/>
      <c r="L217" s="235"/>
      <c r="M217" s="236"/>
      <c r="N217" s="239"/>
      <c r="O217" s="252"/>
      <c r="P217" s="234"/>
      <c r="Q217" s="235"/>
      <c r="R217" s="235"/>
      <c r="S217" s="235"/>
      <c r="T217" s="236"/>
      <c r="U217" s="239"/>
      <c r="V217" s="520"/>
      <c r="W217" s="234" t="s">
        <v>228</v>
      </c>
      <c r="X217" s="235">
        <f t="shared" si="37"/>
        <v>0</v>
      </c>
      <c r="Y217" s="235">
        <f t="shared" si="35"/>
        <v>0</v>
      </c>
      <c r="Z217" s="235">
        <f t="shared" si="43"/>
        <v>0</v>
      </c>
      <c r="AA217" s="247">
        <f t="shared" si="41"/>
        <v>0</v>
      </c>
      <c r="AB217" s="238"/>
      <c r="AC217" s="520"/>
      <c r="AD217" s="234" t="s">
        <v>228</v>
      </c>
      <c r="AE217" s="235">
        <f t="shared" si="46"/>
        <v>0</v>
      </c>
      <c r="AF217" s="235">
        <f t="shared" si="36"/>
        <v>0</v>
      </c>
      <c r="AG217" s="235">
        <f t="shared" si="45"/>
        <v>0</v>
      </c>
      <c r="AH217" s="247">
        <f t="shared" si="42"/>
        <v>0</v>
      </c>
      <c r="AI217" s="238"/>
      <c r="AK217" s="240"/>
    </row>
    <row r="218" spans="1:37" hidden="1" x14ac:dyDescent="0.2">
      <c r="A218" s="248"/>
      <c r="B218" s="234"/>
      <c r="C218" s="235"/>
      <c r="D218" s="235"/>
      <c r="E218" s="235"/>
      <c r="F218" s="236"/>
      <c r="G218" s="239"/>
      <c r="H218" s="248"/>
      <c r="I218" s="234"/>
      <c r="J218" s="235"/>
      <c r="K218" s="235"/>
      <c r="L218" s="235"/>
      <c r="M218" s="236"/>
      <c r="N218" s="239"/>
      <c r="O218" s="252"/>
      <c r="P218" s="234"/>
      <c r="Q218" s="235"/>
      <c r="R218" s="235"/>
      <c r="S218" s="235"/>
      <c r="T218" s="236"/>
      <c r="U218" s="239"/>
      <c r="V218" s="520"/>
      <c r="W218" s="234" t="s">
        <v>229</v>
      </c>
      <c r="X218" s="235">
        <f t="shared" si="37"/>
        <v>0</v>
      </c>
      <c r="Y218" s="235">
        <f t="shared" si="35"/>
        <v>0</v>
      </c>
      <c r="Z218" s="235">
        <f t="shared" si="43"/>
        <v>0</v>
      </c>
      <c r="AA218" s="247">
        <f t="shared" si="41"/>
        <v>0</v>
      </c>
      <c r="AB218" s="238"/>
      <c r="AC218" s="520"/>
      <c r="AD218" s="234" t="s">
        <v>229</v>
      </c>
      <c r="AE218" s="235">
        <f t="shared" si="46"/>
        <v>0</v>
      </c>
      <c r="AF218" s="235">
        <f t="shared" si="36"/>
        <v>0</v>
      </c>
      <c r="AG218" s="235">
        <f t="shared" si="45"/>
        <v>0</v>
      </c>
      <c r="AH218" s="247">
        <f t="shared" si="42"/>
        <v>0</v>
      </c>
      <c r="AI218" s="238"/>
      <c r="AK218" s="240"/>
    </row>
    <row r="219" spans="1:37" hidden="1" x14ac:dyDescent="0.2">
      <c r="A219" s="248"/>
      <c r="B219" s="234"/>
      <c r="C219" s="235"/>
      <c r="D219" s="235"/>
      <c r="E219" s="235"/>
      <c r="F219" s="236"/>
      <c r="G219" s="239"/>
      <c r="H219" s="248"/>
      <c r="I219" s="234"/>
      <c r="J219" s="235"/>
      <c r="K219" s="235"/>
      <c r="L219" s="235"/>
      <c r="M219" s="236"/>
      <c r="N219" s="239"/>
      <c r="O219" s="252"/>
      <c r="P219" s="234"/>
      <c r="Q219" s="235"/>
      <c r="R219" s="235"/>
      <c r="S219" s="235"/>
      <c r="T219" s="236"/>
      <c r="U219" s="239"/>
      <c r="V219" s="520"/>
      <c r="W219" s="234" t="s">
        <v>230</v>
      </c>
      <c r="X219" s="235">
        <f t="shared" si="37"/>
        <v>0</v>
      </c>
      <c r="Y219" s="235">
        <f t="shared" ref="Y219:Y273" si="47">X219*$Y$7/12</f>
        <v>0</v>
      </c>
      <c r="Z219" s="235">
        <f t="shared" si="43"/>
        <v>0</v>
      </c>
      <c r="AA219" s="247">
        <f t="shared" si="41"/>
        <v>0</v>
      </c>
      <c r="AB219" s="238"/>
      <c r="AC219" s="520"/>
      <c r="AD219" s="234" t="s">
        <v>230</v>
      </c>
      <c r="AE219" s="235">
        <f t="shared" si="46"/>
        <v>0</v>
      </c>
      <c r="AF219" s="235">
        <f t="shared" ref="AF219:AF282" si="48">AE219*$Y$7/12</f>
        <v>0</v>
      </c>
      <c r="AG219" s="235">
        <f t="shared" si="45"/>
        <v>0</v>
      </c>
      <c r="AH219" s="247">
        <f t="shared" si="42"/>
        <v>0</v>
      </c>
      <c r="AI219" s="238"/>
      <c r="AK219" s="240"/>
    </row>
    <row r="220" spans="1:37" hidden="1" x14ac:dyDescent="0.2">
      <c r="A220" s="248"/>
      <c r="B220" s="234"/>
      <c r="C220" s="235"/>
      <c r="D220" s="235"/>
      <c r="E220" s="235"/>
      <c r="F220" s="236"/>
      <c r="G220" s="239"/>
      <c r="H220" s="248"/>
      <c r="I220" s="234"/>
      <c r="J220" s="235"/>
      <c r="K220" s="235"/>
      <c r="L220" s="235"/>
      <c r="M220" s="236"/>
      <c r="N220" s="239"/>
      <c r="O220" s="252"/>
      <c r="P220" s="234"/>
      <c r="Q220" s="235"/>
      <c r="R220" s="235"/>
      <c r="S220" s="235"/>
      <c r="T220" s="236"/>
      <c r="U220" s="239"/>
      <c r="V220" s="520"/>
      <c r="W220" s="234" t="s">
        <v>231</v>
      </c>
      <c r="X220" s="235">
        <f t="shared" ref="X220:X273" si="49">X219-Z219</f>
        <v>0</v>
      </c>
      <c r="Y220" s="235">
        <f t="shared" si="47"/>
        <v>0</v>
      </c>
      <c r="Z220" s="235">
        <f t="shared" si="43"/>
        <v>0</v>
      </c>
      <c r="AA220" s="247">
        <f t="shared" si="41"/>
        <v>0</v>
      </c>
      <c r="AB220" s="238"/>
      <c r="AC220" s="520"/>
      <c r="AD220" s="234" t="s">
        <v>231</v>
      </c>
      <c r="AE220" s="235">
        <f t="shared" si="46"/>
        <v>0</v>
      </c>
      <c r="AF220" s="235">
        <f t="shared" si="48"/>
        <v>0</v>
      </c>
      <c r="AG220" s="235">
        <f t="shared" si="45"/>
        <v>0</v>
      </c>
      <c r="AH220" s="247">
        <f t="shared" si="42"/>
        <v>0</v>
      </c>
      <c r="AI220" s="238"/>
      <c r="AK220" s="240"/>
    </row>
    <row r="221" spans="1:37" hidden="1" x14ac:dyDescent="0.2">
      <c r="A221" s="248"/>
      <c r="B221" s="234"/>
      <c r="C221" s="235"/>
      <c r="D221" s="235"/>
      <c r="E221" s="235"/>
      <c r="F221" s="236"/>
      <c r="G221" s="239"/>
      <c r="H221" s="248"/>
      <c r="I221" s="234"/>
      <c r="J221" s="235"/>
      <c r="K221" s="235"/>
      <c r="L221" s="235"/>
      <c r="M221" s="236"/>
      <c r="N221" s="239"/>
      <c r="O221" s="252"/>
      <c r="P221" s="234"/>
      <c r="Q221" s="235"/>
      <c r="R221" s="235"/>
      <c r="S221" s="235"/>
      <c r="T221" s="236"/>
      <c r="U221" s="239"/>
      <c r="V221" s="520"/>
      <c r="W221" s="234" t="s">
        <v>232</v>
      </c>
      <c r="X221" s="235">
        <f t="shared" si="49"/>
        <v>0</v>
      </c>
      <c r="Y221" s="235">
        <f t="shared" si="47"/>
        <v>0</v>
      </c>
      <c r="Z221" s="235">
        <f t="shared" si="43"/>
        <v>0</v>
      </c>
      <c r="AA221" s="247">
        <f t="shared" si="41"/>
        <v>0</v>
      </c>
      <c r="AB221" s="238"/>
      <c r="AC221" s="520"/>
      <c r="AD221" s="234" t="s">
        <v>232</v>
      </c>
      <c r="AE221" s="235">
        <f t="shared" si="46"/>
        <v>0</v>
      </c>
      <c r="AF221" s="235">
        <f t="shared" si="48"/>
        <v>0</v>
      </c>
      <c r="AG221" s="235">
        <f t="shared" si="45"/>
        <v>0</v>
      </c>
      <c r="AH221" s="247">
        <f t="shared" si="42"/>
        <v>0</v>
      </c>
      <c r="AI221" s="238"/>
      <c r="AK221" s="240"/>
    </row>
    <row r="222" spans="1:37" hidden="1" x14ac:dyDescent="0.2">
      <c r="A222" s="248"/>
      <c r="B222" s="234"/>
      <c r="C222" s="235"/>
      <c r="D222" s="235"/>
      <c r="E222" s="235"/>
      <c r="F222" s="236"/>
      <c r="G222" s="239"/>
      <c r="H222" s="248"/>
      <c r="I222" s="234"/>
      <c r="J222" s="235"/>
      <c r="K222" s="235"/>
      <c r="L222" s="235"/>
      <c r="M222" s="236"/>
      <c r="N222" s="239"/>
      <c r="O222" s="252"/>
      <c r="P222" s="234"/>
      <c r="Q222" s="235"/>
      <c r="R222" s="235"/>
      <c r="S222" s="235"/>
      <c r="T222" s="236"/>
      <c r="U222" s="239"/>
      <c r="V222" s="520"/>
      <c r="W222" s="234" t="s">
        <v>233</v>
      </c>
      <c r="X222" s="235">
        <f t="shared" si="49"/>
        <v>0</v>
      </c>
      <c r="Y222" s="235">
        <f t="shared" si="47"/>
        <v>0</v>
      </c>
      <c r="Z222" s="235">
        <f t="shared" si="43"/>
        <v>0</v>
      </c>
      <c r="AA222" s="247">
        <f t="shared" si="41"/>
        <v>0</v>
      </c>
      <c r="AB222" s="238"/>
      <c r="AC222" s="520"/>
      <c r="AD222" s="234" t="s">
        <v>233</v>
      </c>
      <c r="AE222" s="235">
        <f t="shared" si="46"/>
        <v>0</v>
      </c>
      <c r="AF222" s="235">
        <f t="shared" si="48"/>
        <v>0</v>
      </c>
      <c r="AG222" s="235">
        <f t="shared" si="45"/>
        <v>0</v>
      </c>
      <c r="AH222" s="247">
        <f t="shared" si="42"/>
        <v>0</v>
      </c>
      <c r="AI222" s="238"/>
      <c r="AK222" s="240"/>
    </row>
    <row r="223" spans="1:37" hidden="1" x14ac:dyDescent="0.2">
      <c r="A223" s="248"/>
      <c r="B223" s="234"/>
      <c r="C223" s="235"/>
      <c r="D223" s="235"/>
      <c r="E223" s="235"/>
      <c r="F223" s="236"/>
      <c r="G223" s="239"/>
      <c r="H223" s="248"/>
      <c r="I223" s="234"/>
      <c r="J223" s="235"/>
      <c r="K223" s="235"/>
      <c r="L223" s="235"/>
      <c r="M223" s="236"/>
      <c r="N223" s="239"/>
      <c r="O223" s="252"/>
      <c r="P223" s="234"/>
      <c r="Q223" s="235"/>
      <c r="R223" s="235"/>
      <c r="S223" s="235"/>
      <c r="T223" s="236"/>
      <c r="U223" s="239"/>
      <c r="V223" s="520"/>
      <c r="W223" s="234" t="s">
        <v>234</v>
      </c>
      <c r="X223" s="235">
        <f t="shared" si="49"/>
        <v>0</v>
      </c>
      <c r="Y223" s="235">
        <f t="shared" si="47"/>
        <v>0</v>
      </c>
      <c r="Z223" s="235">
        <f t="shared" si="43"/>
        <v>0</v>
      </c>
      <c r="AA223" s="247">
        <f t="shared" si="41"/>
        <v>0</v>
      </c>
      <c r="AB223" s="238"/>
      <c r="AC223" s="520"/>
      <c r="AD223" s="234" t="s">
        <v>234</v>
      </c>
      <c r="AE223" s="235">
        <f t="shared" si="46"/>
        <v>0</v>
      </c>
      <c r="AF223" s="235">
        <f t="shared" si="48"/>
        <v>0</v>
      </c>
      <c r="AG223" s="235">
        <f t="shared" si="45"/>
        <v>0</v>
      </c>
      <c r="AH223" s="247">
        <f t="shared" si="42"/>
        <v>0</v>
      </c>
      <c r="AI223" s="238"/>
      <c r="AK223" s="240"/>
    </row>
    <row r="224" spans="1:37" hidden="1" x14ac:dyDescent="0.2">
      <c r="A224" s="248"/>
      <c r="B224" s="234"/>
      <c r="C224" s="235"/>
      <c r="D224" s="235"/>
      <c r="E224" s="235"/>
      <c r="F224" s="236"/>
      <c r="G224" s="239"/>
      <c r="H224" s="248"/>
      <c r="I224" s="234"/>
      <c r="J224" s="235"/>
      <c r="K224" s="235"/>
      <c r="L224" s="235"/>
      <c r="M224" s="236"/>
      <c r="N224" s="239"/>
      <c r="O224" s="252"/>
      <c r="P224" s="234"/>
      <c r="Q224" s="235"/>
      <c r="R224" s="235"/>
      <c r="S224" s="235"/>
      <c r="T224" s="236"/>
      <c r="U224" s="239"/>
      <c r="V224" s="520"/>
      <c r="W224" s="234" t="s">
        <v>235</v>
      </c>
      <c r="X224" s="235">
        <f t="shared" si="49"/>
        <v>0</v>
      </c>
      <c r="Y224" s="235">
        <f t="shared" si="47"/>
        <v>0</v>
      </c>
      <c r="Z224" s="235">
        <f t="shared" si="43"/>
        <v>0</v>
      </c>
      <c r="AA224" s="247">
        <f t="shared" si="41"/>
        <v>0</v>
      </c>
      <c r="AB224" s="238"/>
      <c r="AC224" s="520"/>
      <c r="AD224" s="234" t="s">
        <v>235</v>
      </c>
      <c r="AE224" s="235">
        <f t="shared" si="46"/>
        <v>0</v>
      </c>
      <c r="AF224" s="235">
        <f t="shared" si="48"/>
        <v>0</v>
      </c>
      <c r="AG224" s="235">
        <f t="shared" si="45"/>
        <v>0</v>
      </c>
      <c r="AH224" s="247">
        <f t="shared" si="42"/>
        <v>0</v>
      </c>
      <c r="AI224" s="238"/>
      <c r="AK224" s="240"/>
    </row>
    <row r="225" spans="1:37" hidden="1" x14ac:dyDescent="0.2">
      <c r="A225" s="248"/>
      <c r="B225" s="234"/>
      <c r="C225" s="235"/>
      <c r="D225" s="235"/>
      <c r="E225" s="235"/>
      <c r="F225" s="236"/>
      <c r="G225" s="239"/>
      <c r="H225" s="248"/>
      <c r="I225" s="234"/>
      <c r="J225" s="235"/>
      <c r="K225" s="235"/>
      <c r="L225" s="235"/>
      <c r="M225" s="236"/>
      <c r="N225" s="239"/>
      <c r="O225" s="252"/>
      <c r="P225" s="234"/>
      <c r="Q225" s="235"/>
      <c r="R225" s="235"/>
      <c r="S225" s="235"/>
      <c r="T225" s="236"/>
      <c r="U225" s="239"/>
      <c r="V225" s="521"/>
      <c r="W225" s="234" t="s">
        <v>236</v>
      </c>
      <c r="X225" s="235">
        <f t="shared" si="49"/>
        <v>0</v>
      </c>
      <c r="Y225" s="235">
        <f t="shared" si="47"/>
        <v>0</v>
      </c>
      <c r="Z225" s="235">
        <f t="shared" si="43"/>
        <v>0</v>
      </c>
      <c r="AA225" s="247">
        <f t="shared" si="41"/>
        <v>0</v>
      </c>
      <c r="AB225" s="239">
        <f>SUM(Y214:Y225)</f>
        <v>0</v>
      </c>
      <c r="AC225" s="521"/>
      <c r="AD225" s="234" t="s">
        <v>236</v>
      </c>
      <c r="AE225" s="235">
        <f t="shared" si="46"/>
        <v>0</v>
      </c>
      <c r="AF225" s="235">
        <f t="shared" si="48"/>
        <v>0</v>
      </c>
      <c r="AG225" s="235">
        <f t="shared" si="45"/>
        <v>0</v>
      </c>
      <c r="AH225" s="247">
        <f t="shared" si="42"/>
        <v>0</v>
      </c>
      <c r="AI225" s="239">
        <f>SUM(AF214:AF225)</f>
        <v>0</v>
      </c>
      <c r="AJ225" s="208">
        <f>V214</f>
        <v>2038</v>
      </c>
      <c r="AK225" s="240">
        <f>G225+N225+U225+AB225+AI225</f>
        <v>0</v>
      </c>
    </row>
    <row r="226" spans="1:37" hidden="1" x14ac:dyDescent="0.2">
      <c r="A226" s="248"/>
      <c r="B226" s="234"/>
      <c r="C226" s="235"/>
      <c r="D226" s="235"/>
      <c r="E226" s="235"/>
      <c r="F226" s="236"/>
      <c r="G226" s="239"/>
      <c r="H226" s="248"/>
      <c r="I226" s="234"/>
      <c r="J226" s="235"/>
      <c r="K226" s="235"/>
      <c r="L226" s="235"/>
      <c r="M226" s="236"/>
      <c r="N226" s="239"/>
      <c r="O226" s="252"/>
      <c r="P226" s="234"/>
      <c r="Q226" s="235"/>
      <c r="R226" s="235"/>
      <c r="S226" s="235"/>
      <c r="T226" s="236"/>
      <c r="U226" s="239"/>
      <c r="V226" s="519">
        <v>2039</v>
      </c>
      <c r="W226" s="234" t="s">
        <v>225</v>
      </c>
      <c r="X226" s="235">
        <f t="shared" si="49"/>
        <v>0</v>
      </c>
      <c r="Y226" s="235">
        <f t="shared" si="47"/>
        <v>0</v>
      </c>
      <c r="Z226" s="235">
        <f t="shared" si="43"/>
        <v>0</v>
      </c>
      <c r="AA226" s="247">
        <f t="shared" si="41"/>
        <v>0</v>
      </c>
      <c r="AB226" s="237"/>
      <c r="AC226" s="519">
        <v>2039</v>
      </c>
      <c r="AD226" s="234" t="s">
        <v>225</v>
      </c>
      <c r="AE226" s="235">
        <f t="shared" si="46"/>
        <v>0</v>
      </c>
      <c r="AF226" s="235">
        <f t="shared" si="48"/>
        <v>0</v>
      </c>
      <c r="AG226" s="235">
        <f t="shared" si="45"/>
        <v>0</v>
      </c>
      <c r="AH226" s="247">
        <f t="shared" si="42"/>
        <v>0</v>
      </c>
      <c r="AI226" s="237"/>
      <c r="AK226" s="240"/>
    </row>
    <row r="227" spans="1:37" hidden="1" x14ac:dyDescent="0.2">
      <c r="A227" s="248"/>
      <c r="B227" s="234"/>
      <c r="C227" s="235"/>
      <c r="D227" s="235"/>
      <c r="E227" s="235"/>
      <c r="F227" s="236"/>
      <c r="G227" s="239"/>
      <c r="H227" s="248"/>
      <c r="I227" s="234"/>
      <c r="J227" s="235"/>
      <c r="K227" s="235"/>
      <c r="L227" s="235"/>
      <c r="M227" s="236"/>
      <c r="N227" s="239"/>
      <c r="O227" s="252"/>
      <c r="P227" s="234"/>
      <c r="Q227" s="235"/>
      <c r="R227" s="235"/>
      <c r="S227" s="235"/>
      <c r="T227" s="236"/>
      <c r="U227" s="239"/>
      <c r="V227" s="520"/>
      <c r="W227" s="234" t="s">
        <v>226</v>
      </c>
      <c r="X227" s="235">
        <f t="shared" si="49"/>
        <v>0</v>
      </c>
      <c r="Y227" s="235">
        <f t="shared" si="47"/>
        <v>0</v>
      </c>
      <c r="Z227" s="235">
        <f t="shared" si="43"/>
        <v>0</v>
      </c>
      <c r="AA227" s="247">
        <f t="shared" si="41"/>
        <v>0</v>
      </c>
      <c r="AB227" s="238"/>
      <c r="AC227" s="520"/>
      <c r="AD227" s="234" t="s">
        <v>226</v>
      </c>
      <c r="AE227" s="235">
        <f t="shared" si="46"/>
        <v>0</v>
      </c>
      <c r="AF227" s="235">
        <f t="shared" si="48"/>
        <v>0</v>
      </c>
      <c r="AG227" s="235">
        <f t="shared" si="45"/>
        <v>0</v>
      </c>
      <c r="AH227" s="247">
        <f t="shared" si="42"/>
        <v>0</v>
      </c>
      <c r="AI227" s="238"/>
      <c r="AK227" s="240"/>
    </row>
    <row r="228" spans="1:37" hidden="1" x14ac:dyDescent="0.2">
      <c r="A228" s="248"/>
      <c r="B228" s="234"/>
      <c r="C228" s="235"/>
      <c r="D228" s="235"/>
      <c r="E228" s="235"/>
      <c r="F228" s="236"/>
      <c r="G228" s="239"/>
      <c r="H228" s="248"/>
      <c r="I228" s="234"/>
      <c r="J228" s="235"/>
      <c r="K228" s="235"/>
      <c r="L228" s="235"/>
      <c r="M228" s="236"/>
      <c r="N228" s="239"/>
      <c r="O228" s="252"/>
      <c r="P228" s="234"/>
      <c r="Q228" s="235"/>
      <c r="R228" s="235"/>
      <c r="S228" s="235"/>
      <c r="T228" s="236"/>
      <c r="U228" s="239"/>
      <c r="V228" s="520"/>
      <c r="W228" s="234" t="s">
        <v>227</v>
      </c>
      <c r="X228" s="235">
        <f t="shared" si="49"/>
        <v>0</v>
      </c>
      <c r="Y228" s="235">
        <f t="shared" si="47"/>
        <v>0</v>
      </c>
      <c r="Z228" s="235">
        <f t="shared" si="43"/>
        <v>0</v>
      </c>
      <c r="AA228" s="247">
        <f t="shared" ref="AA228:AA285" si="50">Y228+Z228</f>
        <v>0</v>
      </c>
      <c r="AB228" s="238"/>
      <c r="AC228" s="520"/>
      <c r="AD228" s="234" t="s">
        <v>227</v>
      </c>
      <c r="AE228" s="235">
        <f t="shared" si="46"/>
        <v>0</v>
      </c>
      <c r="AF228" s="235">
        <f t="shared" si="48"/>
        <v>0</v>
      </c>
      <c r="AG228" s="235">
        <f t="shared" si="45"/>
        <v>0</v>
      </c>
      <c r="AH228" s="247">
        <f t="shared" ref="AH228:AH291" si="51">AF228+AG228</f>
        <v>0</v>
      </c>
      <c r="AI228" s="238"/>
      <c r="AK228" s="240"/>
    </row>
    <row r="229" spans="1:37" hidden="1" x14ac:dyDescent="0.2">
      <c r="A229" s="248"/>
      <c r="B229" s="234"/>
      <c r="C229" s="235"/>
      <c r="D229" s="235"/>
      <c r="E229" s="235"/>
      <c r="F229" s="236"/>
      <c r="G229" s="239"/>
      <c r="H229" s="248"/>
      <c r="I229" s="234"/>
      <c r="J229" s="235"/>
      <c r="K229" s="235"/>
      <c r="L229" s="235"/>
      <c r="M229" s="236"/>
      <c r="N229" s="239"/>
      <c r="O229" s="252"/>
      <c r="P229" s="234"/>
      <c r="Q229" s="235"/>
      <c r="R229" s="235"/>
      <c r="S229" s="235"/>
      <c r="T229" s="236"/>
      <c r="U229" s="239"/>
      <c r="V229" s="520"/>
      <c r="W229" s="234" t="s">
        <v>228</v>
      </c>
      <c r="X229" s="235">
        <f t="shared" si="49"/>
        <v>0</v>
      </c>
      <c r="Y229" s="235">
        <f t="shared" si="47"/>
        <v>0</v>
      </c>
      <c r="Z229" s="235">
        <f t="shared" si="43"/>
        <v>0</v>
      </c>
      <c r="AA229" s="247">
        <f t="shared" si="50"/>
        <v>0</v>
      </c>
      <c r="AB229" s="238"/>
      <c r="AC229" s="520"/>
      <c r="AD229" s="234" t="s">
        <v>228</v>
      </c>
      <c r="AE229" s="235">
        <f t="shared" si="46"/>
        <v>0</v>
      </c>
      <c r="AF229" s="235">
        <f t="shared" si="48"/>
        <v>0</v>
      </c>
      <c r="AG229" s="235">
        <f t="shared" si="45"/>
        <v>0</v>
      </c>
      <c r="AH229" s="247">
        <f t="shared" si="51"/>
        <v>0</v>
      </c>
      <c r="AI229" s="238"/>
      <c r="AK229" s="240"/>
    </row>
    <row r="230" spans="1:37" hidden="1" x14ac:dyDescent="0.2">
      <c r="A230" s="248"/>
      <c r="B230" s="234"/>
      <c r="C230" s="235"/>
      <c r="D230" s="235"/>
      <c r="E230" s="235"/>
      <c r="F230" s="236"/>
      <c r="G230" s="239"/>
      <c r="H230" s="248"/>
      <c r="I230" s="234"/>
      <c r="J230" s="235"/>
      <c r="K230" s="235"/>
      <c r="L230" s="235"/>
      <c r="M230" s="236"/>
      <c r="N230" s="239"/>
      <c r="O230" s="252"/>
      <c r="P230" s="234"/>
      <c r="Q230" s="235"/>
      <c r="R230" s="235"/>
      <c r="S230" s="235"/>
      <c r="T230" s="236"/>
      <c r="U230" s="239"/>
      <c r="V230" s="520"/>
      <c r="W230" s="234" t="s">
        <v>229</v>
      </c>
      <c r="X230" s="235">
        <f t="shared" si="49"/>
        <v>0</v>
      </c>
      <c r="Y230" s="235">
        <f t="shared" si="47"/>
        <v>0</v>
      </c>
      <c r="Z230" s="235">
        <f t="shared" si="43"/>
        <v>0</v>
      </c>
      <c r="AA230" s="247">
        <f t="shared" si="50"/>
        <v>0</v>
      </c>
      <c r="AB230" s="238"/>
      <c r="AC230" s="520"/>
      <c r="AD230" s="234" t="s">
        <v>229</v>
      </c>
      <c r="AE230" s="235">
        <f t="shared" si="46"/>
        <v>0</v>
      </c>
      <c r="AF230" s="235">
        <f t="shared" si="48"/>
        <v>0</v>
      </c>
      <c r="AG230" s="235">
        <f t="shared" si="45"/>
        <v>0</v>
      </c>
      <c r="AH230" s="247">
        <f t="shared" si="51"/>
        <v>0</v>
      </c>
      <c r="AI230" s="238"/>
      <c r="AK230" s="240"/>
    </row>
    <row r="231" spans="1:37" hidden="1" x14ac:dyDescent="0.2">
      <c r="A231" s="248"/>
      <c r="B231" s="234"/>
      <c r="C231" s="235"/>
      <c r="D231" s="235"/>
      <c r="E231" s="235"/>
      <c r="F231" s="236"/>
      <c r="G231" s="239"/>
      <c r="H231" s="248"/>
      <c r="I231" s="234"/>
      <c r="J231" s="235"/>
      <c r="K231" s="235"/>
      <c r="L231" s="235"/>
      <c r="M231" s="236"/>
      <c r="N231" s="239"/>
      <c r="O231" s="252"/>
      <c r="P231" s="234"/>
      <c r="Q231" s="235"/>
      <c r="R231" s="235"/>
      <c r="S231" s="235"/>
      <c r="T231" s="236"/>
      <c r="U231" s="239"/>
      <c r="V231" s="520"/>
      <c r="W231" s="234" t="s">
        <v>230</v>
      </c>
      <c r="X231" s="235">
        <f t="shared" si="49"/>
        <v>0</v>
      </c>
      <c r="Y231" s="235">
        <f t="shared" si="47"/>
        <v>0</v>
      </c>
      <c r="Z231" s="235">
        <f t="shared" ref="Z231:Z273" si="52">$X$7/120</f>
        <v>0</v>
      </c>
      <c r="AA231" s="247">
        <f t="shared" si="50"/>
        <v>0</v>
      </c>
      <c r="AB231" s="238"/>
      <c r="AC231" s="520"/>
      <c r="AD231" s="234" t="s">
        <v>230</v>
      </c>
      <c r="AE231" s="235">
        <f t="shared" si="46"/>
        <v>0</v>
      </c>
      <c r="AF231" s="235">
        <f t="shared" si="48"/>
        <v>0</v>
      </c>
      <c r="AG231" s="235">
        <f t="shared" si="45"/>
        <v>0</v>
      </c>
      <c r="AH231" s="247">
        <f t="shared" si="51"/>
        <v>0</v>
      </c>
      <c r="AI231" s="238"/>
      <c r="AK231" s="240"/>
    </row>
    <row r="232" spans="1:37" hidden="1" x14ac:dyDescent="0.2">
      <c r="A232" s="248"/>
      <c r="B232" s="234"/>
      <c r="C232" s="235"/>
      <c r="D232" s="235"/>
      <c r="E232" s="235"/>
      <c r="F232" s="236"/>
      <c r="G232" s="239"/>
      <c r="H232" s="248"/>
      <c r="I232" s="234"/>
      <c r="J232" s="235"/>
      <c r="K232" s="235"/>
      <c r="L232" s="235"/>
      <c r="M232" s="236"/>
      <c r="N232" s="239"/>
      <c r="O232" s="252"/>
      <c r="P232" s="234"/>
      <c r="Q232" s="235"/>
      <c r="R232" s="235"/>
      <c r="S232" s="235"/>
      <c r="T232" s="236"/>
      <c r="U232" s="239"/>
      <c r="V232" s="520"/>
      <c r="W232" s="234" t="s">
        <v>231</v>
      </c>
      <c r="X232" s="235">
        <f t="shared" si="49"/>
        <v>0</v>
      </c>
      <c r="Y232" s="235">
        <f t="shared" si="47"/>
        <v>0</v>
      </c>
      <c r="Z232" s="235">
        <f t="shared" si="52"/>
        <v>0</v>
      </c>
      <c r="AA232" s="247">
        <f t="shared" si="50"/>
        <v>0</v>
      </c>
      <c r="AB232" s="238"/>
      <c r="AC232" s="520"/>
      <c r="AD232" s="234" t="s">
        <v>231</v>
      </c>
      <c r="AE232" s="235">
        <f t="shared" si="46"/>
        <v>0</v>
      </c>
      <c r="AF232" s="235">
        <f t="shared" si="48"/>
        <v>0</v>
      </c>
      <c r="AG232" s="235">
        <f t="shared" si="45"/>
        <v>0</v>
      </c>
      <c r="AH232" s="247">
        <f t="shared" si="51"/>
        <v>0</v>
      </c>
      <c r="AI232" s="238"/>
      <c r="AK232" s="240"/>
    </row>
    <row r="233" spans="1:37" hidden="1" x14ac:dyDescent="0.2">
      <c r="A233" s="248"/>
      <c r="B233" s="234"/>
      <c r="C233" s="235"/>
      <c r="D233" s="235"/>
      <c r="E233" s="235"/>
      <c r="F233" s="236"/>
      <c r="G233" s="239"/>
      <c r="H233" s="248"/>
      <c r="I233" s="234"/>
      <c r="J233" s="235"/>
      <c r="K233" s="235"/>
      <c r="L233" s="235"/>
      <c r="M233" s="236"/>
      <c r="N233" s="239"/>
      <c r="O233" s="252"/>
      <c r="P233" s="234"/>
      <c r="Q233" s="235"/>
      <c r="R233" s="235"/>
      <c r="S233" s="235"/>
      <c r="T233" s="236"/>
      <c r="U233" s="239"/>
      <c r="V233" s="520"/>
      <c r="W233" s="234" t="s">
        <v>232</v>
      </c>
      <c r="X233" s="235">
        <f t="shared" si="49"/>
        <v>0</v>
      </c>
      <c r="Y233" s="235">
        <f t="shared" si="47"/>
        <v>0</v>
      </c>
      <c r="Z233" s="235">
        <f t="shared" si="52"/>
        <v>0</v>
      </c>
      <c r="AA233" s="247">
        <f t="shared" si="50"/>
        <v>0</v>
      </c>
      <c r="AB233" s="238"/>
      <c r="AC233" s="520"/>
      <c r="AD233" s="234" t="s">
        <v>232</v>
      </c>
      <c r="AE233" s="235">
        <f t="shared" si="46"/>
        <v>0</v>
      </c>
      <c r="AF233" s="235">
        <f t="shared" si="48"/>
        <v>0</v>
      </c>
      <c r="AG233" s="235">
        <f t="shared" si="45"/>
        <v>0</v>
      </c>
      <c r="AH233" s="247">
        <f t="shared" si="51"/>
        <v>0</v>
      </c>
      <c r="AI233" s="238"/>
      <c r="AK233" s="240"/>
    </row>
    <row r="234" spans="1:37" hidden="1" x14ac:dyDescent="0.2">
      <c r="A234" s="248"/>
      <c r="B234" s="234"/>
      <c r="C234" s="235"/>
      <c r="D234" s="235"/>
      <c r="E234" s="235"/>
      <c r="F234" s="236"/>
      <c r="G234" s="239"/>
      <c r="H234" s="248"/>
      <c r="I234" s="234"/>
      <c r="J234" s="235"/>
      <c r="K234" s="235"/>
      <c r="L234" s="235"/>
      <c r="M234" s="236"/>
      <c r="N234" s="239"/>
      <c r="O234" s="252"/>
      <c r="P234" s="234"/>
      <c r="Q234" s="235"/>
      <c r="R234" s="235"/>
      <c r="S234" s="235"/>
      <c r="T234" s="236"/>
      <c r="U234" s="239"/>
      <c r="V234" s="520"/>
      <c r="W234" s="234" t="s">
        <v>233</v>
      </c>
      <c r="X234" s="235">
        <f t="shared" si="49"/>
        <v>0</v>
      </c>
      <c r="Y234" s="235">
        <f t="shared" si="47"/>
        <v>0</v>
      </c>
      <c r="Z234" s="235">
        <f t="shared" si="52"/>
        <v>0</v>
      </c>
      <c r="AA234" s="247">
        <f t="shared" si="50"/>
        <v>0</v>
      </c>
      <c r="AB234" s="238"/>
      <c r="AC234" s="520"/>
      <c r="AD234" s="234" t="s">
        <v>233</v>
      </c>
      <c r="AE234" s="235">
        <f t="shared" si="46"/>
        <v>0</v>
      </c>
      <c r="AF234" s="235">
        <f t="shared" si="48"/>
        <v>0</v>
      </c>
      <c r="AG234" s="235">
        <f t="shared" si="45"/>
        <v>0</v>
      </c>
      <c r="AH234" s="247">
        <f t="shared" si="51"/>
        <v>0</v>
      </c>
      <c r="AI234" s="238"/>
      <c r="AK234" s="240"/>
    </row>
    <row r="235" spans="1:37" hidden="1" x14ac:dyDescent="0.2">
      <c r="A235" s="248"/>
      <c r="B235" s="234"/>
      <c r="C235" s="235"/>
      <c r="D235" s="235"/>
      <c r="E235" s="235"/>
      <c r="F235" s="236"/>
      <c r="G235" s="239"/>
      <c r="H235" s="248"/>
      <c r="I235" s="234"/>
      <c r="J235" s="235"/>
      <c r="K235" s="235"/>
      <c r="L235" s="235"/>
      <c r="M235" s="236"/>
      <c r="N235" s="239"/>
      <c r="O235" s="252"/>
      <c r="P235" s="234"/>
      <c r="Q235" s="235"/>
      <c r="R235" s="235"/>
      <c r="S235" s="235"/>
      <c r="T235" s="236"/>
      <c r="U235" s="239"/>
      <c r="V235" s="520"/>
      <c r="W235" s="234" t="s">
        <v>234</v>
      </c>
      <c r="X235" s="235">
        <f t="shared" si="49"/>
        <v>0</v>
      </c>
      <c r="Y235" s="235">
        <f t="shared" si="47"/>
        <v>0</v>
      </c>
      <c r="Z235" s="235">
        <f t="shared" si="52"/>
        <v>0</v>
      </c>
      <c r="AA235" s="247">
        <f t="shared" si="50"/>
        <v>0</v>
      </c>
      <c r="AB235" s="238"/>
      <c r="AC235" s="520"/>
      <c r="AD235" s="234" t="s">
        <v>234</v>
      </c>
      <c r="AE235" s="235">
        <f t="shared" si="46"/>
        <v>0</v>
      </c>
      <c r="AF235" s="235">
        <f t="shared" si="48"/>
        <v>0</v>
      </c>
      <c r="AG235" s="235">
        <f t="shared" si="45"/>
        <v>0</v>
      </c>
      <c r="AH235" s="247">
        <f t="shared" si="51"/>
        <v>0</v>
      </c>
      <c r="AI235" s="238"/>
      <c r="AK235" s="240"/>
    </row>
    <row r="236" spans="1:37" hidden="1" x14ac:dyDescent="0.2">
      <c r="A236" s="248"/>
      <c r="B236" s="234"/>
      <c r="C236" s="235"/>
      <c r="D236" s="235"/>
      <c r="E236" s="235"/>
      <c r="F236" s="236"/>
      <c r="G236" s="239"/>
      <c r="H236" s="248"/>
      <c r="I236" s="234"/>
      <c r="J236" s="235"/>
      <c r="K236" s="235"/>
      <c r="L236" s="235"/>
      <c r="M236" s="236"/>
      <c r="N236" s="239"/>
      <c r="O236" s="252"/>
      <c r="P236" s="234"/>
      <c r="Q236" s="235"/>
      <c r="R236" s="235"/>
      <c r="S236" s="235"/>
      <c r="T236" s="236"/>
      <c r="U236" s="239"/>
      <c r="V236" s="520"/>
      <c r="W236" s="234" t="s">
        <v>235</v>
      </c>
      <c r="X236" s="235">
        <f t="shared" si="49"/>
        <v>0</v>
      </c>
      <c r="Y236" s="235">
        <f t="shared" si="47"/>
        <v>0</v>
      </c>
      <c r="Z236" s="235">
        <f t="shared" si="52"/>
        <v>0</v>
      </c>
      <c r="AA236" s="247">
        <f t="shared" si="50"/>
        <v>0</v>
      </c>
      <c r="AB236" s="238"/>
      <c r="AC236" s="520"/>
      <c r="AD236" s="234" t="s">
        <v>235</v>
      </c>
      <c r="AE236" s="235">
        <f t="shared" si="46"/>
        <v>0</v>
      </c>
      <c r="AF236" s="235">
        <f t="shared" si="48"/>
        <v>0</v>
      </c>
      <c r="AG236" s="235">
        <f t="shared" si="45"/>
        <v>0</v>
      </c>
      <c r="AH236" s="247">
        <f t="shared" si="51"/>
        <v>0</v>
      </c>
      <c r="AI236" s="238"/>
      <c r="AK236" s="240"/>
    </row>
    <row r="237" spans="1:37" hidden="1" x14ac:dyDescent="0.2">
      <c r="A237" s="248"/>
      <c r="B237" s="234"/>
      <c r="C237" s="235"/>
      <c r="D237" s="235"/>
      <c r="E237" s="235"/>
      <c r="F237" s="236"/>
      <c r="G237" s="239"/>
      <c r="H237" s="248"/>
      <c r="I237" s="234"/>
      <c r="J237" s="235"/>
      <c r="K237" s="235"/>
      <c r="L237" s="235"/>
      <c r="M237" s="236"/>
      <c r="N237" s="239"/>
      <c r="O237" s="252"/>
      <c r="P237" s="234"/>
      <c r="Q237" s="235"/>
      <c r="R237" s="235"/>
      <c r="S237" s="235"/>
      <c r="T237" s="236"/>
      <c r="U237" s="239"/>
      <c r="V237" s="521"/>
      <c r="W237" s="234" t="s">
        <v>236</v>
      </c>
      <c r="X237" s="235">
        <f t="shared" si="49"/>
        <v>0</v>
      </c>
      <c r="Y237" s="235">
        <f t="shared" si="47"/>
        <v>0</v>
      </c>
      <c r="Z237" s="235">
        <f t="shared" si="52"/>
        <v>0</v>
      </c>
      <c r="AA237" s="247">
        <f t="shared" si="50"/>
        <v>0</v>
      </c>
      <c r="AB237" s="239">
        <f>SUM(Y226:Y237)</f>
        <v>0</v>
      </c>
      <c r="AC237" s="521"/>
      <c r="AD237" s="234" t="s">
        <v>236</v>
      </c>
      <c r="AE237" s="235">
        <f t="shared" si="46"/>
        <v>0</v>
      </c>
      <c r="AF237" s="235">
        <f t="shared" si="48"/>
        <v>0</v>
      </c>
      <c r="AG237" s="235">
        <f t="shared" si="45"/>
        <v>0</v>
      </c>
      <c r="AH237" s="247">
        <f t="shared" si="51"/>
        <v>0</v>
      </c>
      <c r="AI237" s="239">
        <f>SUM(AF226:AF237)</f>
        <v>0</v>
      </c>
      <c r="AJ237" s="208">
        <f>V226</f>
        <v>2039</v>
      </c>
      <c r="AK237" s="240">
        <f>G237+N237+U237+AB237+AI237</f>
        <v>0</v>
      </c>
    </row>
    <row r="238" spans="1:37" hidden="1" x14ac:dyDescent="0.2">
      <c r="A238" s="248"/>
      <c r="B238" s="234"/>
      <c r="C238" s="235"/>
      <c r="D238" s="235"/>
      <c r="E238" s="235"/>
      <c r="F238" s="236"/>
      <c r="G238" s="239"/>
      <c r="H238" s="248"/>
      <c r="I238" s="234"/>
      <c r="J238" s="235"/>
      <c r="K238" s="235"/>
      <c r="L238" s="235"/>
      <c r="M238" s="236"/>
      <c r="N238" s="239"/>
      <c r="O238" s="252"/>
      <c r="P238" s="234"/>
      <c r="Q238" s="235"/>
      <c r="R238" s="235"/>
      <c r="S238" s="235"/>
      <c r="T238" s="236"/>
      <c r="U238" s="239"/>
      <c r="V238" s="519">
        <v>2040</v>
      </c>
      <c r="W238" s="234" t="s">
        <v>225</v>
      </c>
      <c r="X238" s="235">
        <f t="shared" si="49"/>
        <v>0</v>
      </c>
      <c r="Y238" s="235">
        <f t="shared" si="47"/>
        <v>0</v>
      </c>
      <c r="Z238" s="235">
        <f t="shared" si="52"/>
        <v>0</v>
      </c>
      <c r="AA238" s="247">
        <f t="shared" si="50"/>
        <v>0</v>
      </c>
      <c r="AB238" s="237"/>
      <c r="AC238" s="519">
        <v>2040</v>
      </c>
      <c r="AD238" s="234" t="s">
        <v>225</v>
      </c>
      <c r="AE238" s="235">
        <f t="shared" si="46"/>
        <v>0</v>
      </c>
      <c r="AF238" s="235">
        <f t="shared" si="48"/>
        <v>0</v>
      </c>
      <c r="AG238" s="235">
        <f t="shared" si="45"/>
        <v>0</v>
      </c>
      <c r="AH238" s="247">
        <f t="shared" si="51"/>
        <v>0</v>
      </c>
      <c r="AI238" s="237"/>
      <c r="AK238" s="240"/>
    </row>
    <row r="239" spans="1:37" hidden="1" x14ac:dyDescent="0.2">
      <c r="A239" s="248"/>
      <c r="B239" s="234"/>
      <c r="C239" s="235"/>
      <c r="D239" s="235"/>
      <c r="E239" s="235"/>
      <c r="F239" s="236"/>
      <c r="G239" s="239"/>
      <c r="H239" s="248"/>
      <c r="I239" s="234"/>
      <c r="J239" s="235"/>
      <c r="K239" s="235"/>
      <c r="L239" s="235"/>
      <c r="M239" s="236"/>
      <c r="N239" s="239"/>
      <c r="O239" s="252"/>
      <c r="P239" s="234"/>
      <c r="Q239" s="235"/>
      <c r="R239" s="235"/>
      <c r="S239" s="235"/>
      <c r="T239" s="236"/>
      <c r="U239" s="239"/>
      <c r="V239" s="520"/>
      <c r="W239" s="234" t="s">
        <v>226</v>
      </c>
      <c r="X239" s="235">
        <f t="shared" si="49"/>
        <v>0</v>
      </c>
      <c r="Y239" s="235">
        <f t="shared" si="47"/>
        <v>0</v>
      </c>
      <c r="Z239" s="235">
        <f t="shared" si="52"/>
        <v>0</v>
      </c>
      <c r="AA239" s="247">
        <f t="shared" si="50"/>
        <v>0</v>
      </c>
      <c r="AB239" s="238"/>
      <c r="AC239" s="520"/>
      <c r="AD239" s="234" t="s">
        <v>226</v>
      </c>
      <c r="AE239" s="235">
        <f t="shared" si="46"/>
        <v>0</v>
      </c>
      <c r="AF239" s="235">
        <f t="shared" si="48"/>
        <v>0</v>
      </c>
      <c r="AG239" s="235">
        <f t="shared" si="45"/>
        <v>0</v>
      </c>
      <c r="AH239" s="247">
        <f t="shared" si="51"/>
        <v>0</v>
      </c>
      <c r="AI239" s="238"/>
      <c r="AK239" s="240"/>
    </row>
    <row r="240" spans="1:37" hidden="1" x14ac:dyDescent="0.2">
      <c r="A240" s="248"/>
      <c r="B240" s="234"/>
      <c r="C240" s="235"/>
      <c r="D240" s="235"/>
      <c r="E240" s="235"/>
      <c r="F240" s="236"/>
      <c r="G240" s="239"/>
      <c r="H240" s="248"/>
      <c r="I240" s="234"/>
      <c r="J240" s="235"/>
      <c r="K240" s="235"/>
      <c r="L240" s="235"/>
      <c r="M240" s="236"/>
      <c r="N240" s="239"/>
      <c r="O240" s="252"/>
      <c r="P240" s="234"/>
      <c r="Q240" s="235"/>
      <c r="R240" s="235"/>
      <c r="S240" s="235"/>
      <c r="T240" s="236"/>
      <c r="U240" s="239"/>
      <c r="V240" s="520"/>
      <c r="W240" s="234" t="s">
        <v>227</v>
      </c>
      <c r="X240" s="235">
        <f t="shared" si="49"/>
        <v>0</v>
      </c>
      <c r="Y240" s="235">
        <f t="shared" si="47"/>
        <v>0</v>
      </c>
      <c r="Z240" s="235">
        <f t="shared" si="52"/>
        <v>0</v>
      </c>
      <c r="AA240" s="247">
        <f t="shared" si="50"/>
        <v>0</v>
      </c>
      <c r="AB240" s="238"/>
      <c r="AC240" s="520"/>
      <c r="AD240" s="234" t="s">
        <v>227</v>
      </c>
      <c r="AE240" s="235">
        <f t="shared" si="46"/>
        <v>0</v>
      </c>
      <c r="AF240" s="235">
        <f t="shared" si="48"/>
        <v>0</v>
      </c>
      <c r="AG240" s="235">
        <f t="shared" si="45"/>
        <v>0</v>
      </c>
      <c r="AH240" s="247">
        <f t="shared" si="51"/>
        <v>0</v>
      </c>
      <c r="AI240" s="238"/>
      <c r="AK240" s="240"/>
    </row>
    <row r="241" spans="1:37" hidden="1" x14ac:dyDescent="0.2">
      <c r="A241" s="248"/>
      <c r="B241" s="234"/>
      <c r="C241" s="235"/>
      <c r="D241" s="235"/>
      <c r="E241" s="235"/>
      <c r="F241" s="236"/>
      <c r="G241" s="239"/>
      <c r="H241" s="248"/>
      <c r="I241" s="234"/>
      <c r="J241" s="235"/>
      <c r="K241" s="235"/>
      <c r="L241" s="235"/>
      <c r="M241" s="236"/>
      <c r="N241" s="239"/>
      <c r="O241" s="252"/>
      <c r="P241" s="234"/>
      <c r="Q241" s="235"/>
      <c r="R241" s="235"/>
      <c r="S241" s="235"/>
      <c r="T241" s="236"/>
      <c r="U241" s="239"/>
      <c r="V241" s="520"/>
      <c r="W241" s="234" t="s">
        <v>228</v>
      </c>
      <c r="X241" s="235">
        <f t="shared" si="49"/>
        <v>0</v>
      </c>
      <c r="Y241" s="235">
        <f t="shared" si="47"/>
        <v>0</v>
      </c>
      <c r="Z241" s="235">
        <f t="shared" si="52"/>
        <v>0</v>
      </c>
      <c r="AA241" s="247">
        <f t="shared" si="50"/>
        <v>0</v>
      </c>
      <c r="AB241" s="238"/>
      <c r="AC241" s="520"/>
      <c r="AD241" s="234" t="s">
        <v>228</v>
      </c>
      <c r="AE241" s="235">
        <f t="shared" si="46"/>
        <v>0</v>
      </c>
      <c r="AF241" s="235">
        <f t="shared" si="48"/>
        <v>0</v>
      </c>
      <c r="AG241" s="235">
        <f t="shared" si="45"/>
        <v>0</v>
      </c>
      <c r="AH241" s="247">
        <f t="shared" si="51"/>
        <v>0</v>
      </c>
      <c r="AI241" s="238"/>
      <c r="AK241" s="240"/>
    </row>
    <row r="242" spans="1:37" hidden="1" x14ac:dyDescent="0.2">
      <c r="A242" s="248"/>
      <c r="B242" s="234"/>
      <c r="C242" s="235"/>
      <c r="D242" s="235"/>
      <c r="E242" s="235"/>
      <c r="F242" s="236"/>
      <c r="G242" s="239"/>
      <c r="H242" s="248"/>
      <c r="I242" s="234"/>
      <c r="J242" s="235"/>
      <c r="K242" s="235"/>
      <c r="L242" s="235"/>
      <c r="M242" s="236"/>
      <c r="N242" s="239"/>
      <c r="O242" s="252"/>
      <c r="P242" s="234"/>
      <c r="Q242" s="235"/>
      <c r="R242" s="235"/>
      <c r="S242" s="235"/>
      <c r="T242" s="236"/>
      <c r="U242" s="239"/>
      <c r="V242" s="520"/>
      <c r="W242" s="234" t="s">
        <v>229</v>
      </c>
      <c r="X242" s="235">
        <f t="shared" si="49"/>
        <v>0</v>
      </c>
      <c r="Y242" s="235">
        <f t="shared" si="47"/>
        <v>0</v>
      </c>
      <c r="Z242" s="235">
        <f t="shared" si="52"/>
        <v>0</v>
      </c>
      <c r="AA242" s="247">
        <f t="shared" si="50"/>
        <v>0</v>
      </c>
      <c r="AB242" s="238"/>
      <c r="AC242" s="520"/>
      <c r="AD242" s="234" t="s">
        <v>229</v>
      </c>
      <c r="AE242" s="235">
        <f t="shared" si="46"/>
        <v>0</v>
      </c>
      <c r="AF242" s="235">
        <f t="shared" si="48"/>
        <v>0</v>
      </c>
      <c r="AG242" s="235">
        <f t="shared" si="45"/>
        <v>0</v>
      </c>
      <c r="AH242" s="247">
        <f t="shared" si="51"/>
        <v>0</v>
      </c>
      <c r="AI242" s="238"/>
      <c r="AK242" s="240"/>
    </row>
    <row r="243" spans="1:37" hidden="1" x14ac:dyDescent="0.2">
      <c r="A243" s="248"/>
      <c r="B243" s="234"/>
      <c r="C243" s="235"/>
      <c r="D243" s="235"/>
      <c r="E243" s="235"/>
      <c r="F243" s="236"/>
      <c r="G243" s="239"/>
      <c r="H243" s="248"/>
      <c r="I243" s="234"/>
      <c r="J243" s="235"/>
      <c r="K243" s="235"/>
      <c r="L243" s="235"/>
      <c r="M243" s="236"/>
      <c r="N243" s="239"/>
      <c r="O243" s="252"/>
      <c r="P243" s="234"/>
      <c r="Q243" s="235"/>
      <c r="R243" s="235"/>
      <c r="S243" s="235"/>
      <c r="T243" s="236"/>
      <c r="U243" s="239"/>
      <c r="V243" s="520"/>
      <c r="W243" s="234" t="s">
        <v>230</v>
      </c>
      <c r="X243" s="235">
        <f t="shared" si="49"/>
        <v>0</v>
      </c>
      <c r="Y243" s="235">
        <f t="shared" si="47"/>
        <v>0</v>
      </c>
      <c r="Z243" s="235">
        <f t="shared" si="52"/>
        <v>0</v>
      </c>
      <c r="AA243" s="247">
        <f t="shared" si="50"/>
        <v>0</v>
      </c>
      <c r="AB243" s="238"/>
      <c r="AC243" s="520"/>
      <c r="AD243" s="234" t="s">
        <v>230</v>
      </c>
      <c r="AE243" s="235">
        <f t="shared" si="46"/>
        <v>0</v>
      </c>
      <c r="AF243" s="235">
        <f t="shared" si="48"/>
        <v>0</v>
      </c>
      <c r="AG243" s="235">
        <f t="shared" si="45"/>
        <v>0</v>
      </c>
      <c r="AH243" s="247">
        <f t="shared" si="51"/>
        <v>0</v>
      </c>
      <c r="AI243" s="238"/>
      <c r="AK243" s="240"/>
    </row>
    <row r="244" spans="1:37" hidden="1" x14ac:dyDescent="0.2">
      <c r="A244" s="248"/>
      <c r="B244" s="234"/>
      <c r="C244" s="235"/>
      <c r="D244" s="235"/>
      <c r="E244" s="235"/>
      <c r="F244" s="236"/>
      <c r="G244" s="239"/>
      <c r="H244" s="248"/>
      <c r="I244" s="234"/>
      <c r="J244" s="235"/>
      <c r="K244" s="235"/>
      <c r="L244" s="235"/>
      <c r="M244" s="236"/>
      <c r="N244" s="239"/>
      <c r="O244" s="252"/>
      <c r="P244" s="234"/>
      <c r="Q244" s="235"/>
      <c r="R244" s="235"/>
      <c r="S244" s="235"/>
      <c r="T244" s="236"/>
      <c r="U244" s="239"/>
      <c r="V244" s="520"/>
      <c r="W244" s="234" t="s">
        <v>231</v>
      </c>
      <c r="X244" s="235">
        <f t="shared" si="49"/>
        <v>0</v>
      </c>
      <c r="Y244" s="235">
        <f t="shared" si="47"/>
        <v>0</v>
      </c>
      <c r="Z244" s="235">
        <f t="shared" si="52"/>
        <v>0</v>
      </c>
      <c r="AA244" s="247">
        <f t="shared" si="50"/>
        <v>0</v>
      </c>
      <c r="AB244" s="238"/>
      <c r="AC244" s="520"/>
      <c r="AD244" s="234" t="s">
        <v>231</v>
      </c>
      <c r="AE244" s="235">
        <f t="shared" si="46"/>
        <v>0</v>
      </c>
      <c r="AF244" s="235">
        <f t="shared" si="48"/>
        <v>0</v>
      </c>
      <c r="AG244" s="235">
        <f t="shared" si="45"/>
        <v>0</v>
      </c>
      <c r="AH244" s="247">
        <f t="shared" si="51"/>
        <v>0</v>
      </c>
      <c r="AI244" s="238"/>
      <c r="AK244" s="240"/>
    </row>
    <row r="245" spans="1:37" hidden="1" x14ac:dyDescent="0.2">
      <c r="A245" s="248"/>
      <c r="B245" s="234"/>
      <c r="C245" s="235"/>
      <c r="D245" s="235"/>
      <c r="E245" s="235"/>
      <c r="F245" s="236"/>
      <c r="G245" s="239"/>
      <c r="H245" s="248"/>
      <c r="I245" s="234"/>
      <c r="J245" s="235"/>
      <c r="K245" s="235"/>
      <c r="L245" s="235"/>
      <c r="M245" s="236"/>
      <c r="N245" s="239"/>
      <c r="O245" s="252"/>
      <c r="P245" s="234"/>
      <c r="Q245" s="235"/>
      <c r="R245" s="235"/>
      <c r="S245" s="235"/>
      <c r="T245" s="236"/>
      <c r="U245" s="239"/>
      <c r="V245" s="520"/>
      <c r="W245" s="234" t="s">
        <v>232</v>
      </c>
      <c r="X245" s="235">
        <f t="shared" si="49"/>
        <v>0</v>
      </c>
      <c r="Y245" s="235">
        <f t="shared" si="47"/>
        <v>0</v>
      </c>
      <c r="Z245" s="235">
        <f t="shared" si="52"/>
        <v>0</v>
      </c>
      <c r="AA245" s="247">
        <f t="shared" si="50"/>
        <v>0</v>
      </c>
      <c r="AB245" s="238"/>
      <c r="AC245" s="520"/>
      <c r="AD245" s="234" t="s">
        <v>232</v>
      </c>
      <c r="AE245" s="235">
        <f t="shared" si="46"/>
        <v>0</v>
      </c>
      <c r="AF245" s="235">
        <f t="shared" si="48"/>
        <v>0</v>
      </c>
      <c r="AG245" s="235">
        <f t="shared" si="45"/>
        <v>0</v>
      </c>
      <c r="AH245" s="247">
        <f t="shared" si="51"/>
        <v>0</v>
      </c>
      <c r="AI245" s="238"/>
      <c r="AK245" s="240"/>
    </row>
    <row r="246" spans="1:37" hidden="1" x14ac:dyDescent="0.2">
      <c r="A246" s="248"/>
      <c r="B246" s="234"/>
      <c r="C246" s="235"/>
      <c r="D246" s="235"/>
      <c r="E246" s="235"/>
      <c r="F246" s="236"/>
      <c r="G246" s="239"/>
      <c r="H246" s="248"/>
      <c r="I246" s="234"/>
      <c r="J246" s="235"/>
      <c r="K246" s="235"/>
      <c r="L246" s="235"/>
      <c r="M246" s="236"/>
      <c r="N246" s="239"/>
      <c r="O246" s="252"/>
      <c r="P246" s="234"/>
      <c r="Q246" s="235"/>
      <c r="R246" s="235"/>
      <c r="S246" s="235"/>
      <c r="T246" s="236"/>
      <c r="U246" s="239"/>
      <c r="V246" s="520"/>
      <c r="W246" s="234" t="s">
        <v>233</v>
      </c>
      <c r="X246" s="235">
        <f t="shared" si="49"/>
        <v>0</v>
      </c>
      <c r="Y246" s="235">
        <f t="shared" si="47"/>
        <v>0</v>
      </c>
      <c r="Z246" s="235">
        <f t="shared" si="52"/>
        <v>0</v>
      </c>
      <c r="AA246" s="247">
        <f t="shared" si="50"/>
        <v>0</v>
      </c>
      <c r="AB246" s="238"/>
      <c r="AC246" s="520"/>
      <c r="AD246" s="234" t="s">
        <v>233</v>
      </c>
      <c r="AE246" s="235">
        <f t="shared" si="46"/>
        <v>0</v>
      </c>
      <c r="AF246" s="235">
        <f t="shared" si="48"/>
        <v>0</v>
      </c>
      <c r="AG246" s="235">
        <f t="shared" si="45"/>
        <v>0</v>
      </c>
      <c r="AH246" s="247">
        <f t="shared" si="51"/>
        <v>0</v>
      </c>
      <c r="AI246" s="238"/>
      <c r="AK246" s="240"/>
    </row>
    <row r="247" spans="1:37" hidden="1" x14ac:dyDescent="0.2">
      <c r="A247" s="248"/>
      <c r="B247" s="234"/>
      <c r="C247" s="235"/>
      <c r="D247" s="235"/>
      <c r="E247" s="235"/>
      <c r="F247" s="236"/>
      <c r="G247" s="239"/>
      <c r="H247" s="248"/>
      <c r="I247" s="234"/>
      <c r="J247" s="235"/>
      <c r="K247" s="235"/>
      <c r="L247" s="235"/>
      <c r="M247" s="236"/>
      <c r="N247" s="239"/>
      <c r="O247" s="252"/>
      <c r="P247" s="234"/>
      <c r="Q247" s="235"/>
      <c r="R247" s="235"/>
      <c r="S247" s="235"/>
      <c r="T247" s="236"/>
      <c r="U247" s="239"/>
      <c r="V247" s="520"/>
      <c r="W247" s="234" t="s">
        <v>234</v>
      </c>
      <c r="X247" s="235">
        <f t="shared" si="49"/>
        <v>0</v>
      </c>
      <c r="Y247" s="235">
        <f t="shared" si="47"/>
        <v>0</v>
      </c>
      <c r="Z247" s="235">
        <f t="shared" si="52"/>
        <v>0</v>
      </c>
      <c r="AA247" s="247">
        <f t="shared" si="50"/>
        <v>0</v>
      </c>
      <c r="AB247" s="238"/>
      <c r="AC247" s="520"/>
      <c r="AD247" s="234" t="s">
        <v>234</v>
      </c>
      <c r="AE247" s="235">
        <f t="shared" si="46"/>
        <v>0</v>
      </c>
      <c r="AF247" s="235">
        <f t="shared" si="48"/>
        <v>0</v>
      </c>
      <c r="AG247" s="235">
        <f t="shared" si="45"/>
        <v>0</v>
      </c>
      <c r="AH247" s="247">
        <f t="shared" si="51"/>
        <v>0</v>
      </c>
      <c r="AI247" s="238"/>
      <c r="AK247" s="240"/>
    </row>
    <row r="248" spans="1:37" hidden="1" x14ac:dyDescent="0.2">
      <c r="A248" s="248"/>
      <c r="B248" s="234"/>
      <c r="C248" s="235"/>
      <c r="D248" s="235"/>
      <c r="E248" s="235"/>
      <c r="F248" s="236"/>
      <c r="G248" s="239"/>
      <c r="H248" s="248"/>
      <c r="I248" s="234"/>
      <c r="J248" s="235"/>
      <c r="K248" s="235"/>
      <c r="L248" s="235"/>
      <c r="M248" s="236"/>
      <c r="N248" s="239"/>
      <c r="O248" s="252"/>
      <c r="P248" s="234"/>
      <c r="Q248" s="235"/>
      <c r="R248" s="235"/>
      <c r="S248" s="235"/>
      <c r="T248" s="236"/>
      <c r="U248" s="239"/>
      <c r="V248" s="520"/>
      <c r="W248" s="234" t="s">
        <v>235</v>
      </c>
      <c r="X248" s="235">
        <f t="shared" si="49"/>
        <v>0</v>
      </c>
      <c r="Y248" s="235">
        <f t="shared" si="47"/>
        <v>0</v>
      </c>
      <c r="Z248" s="235">
        <f t="shared" si="52"/>
        <v>0</v>
      </c>
      <c r="AA248" s="247">
        <f t="shared" si="50"/>
        <v>0</v>
      </c>
      <c r="AB248" s="238"/>
      <c r="AC248" s="520"/>
      <c r="AD248" s="234" t="s">
        <v>235</v>
      </c>
      <c r="AE248" s="235">
        <f t="shared" si="46"/>
        <v>0</v>
      </c>
      <c r="AF248" s="235">
        <f t="shared" si="48"/>
        <v>0</v>
      </c>
      <c r="AG248" s="235">
        <f t="shared" si="45"/>
        <v>0</v>
      </c>
      <c r="AH248" s="247">
        <f t="shared" si="51"/>
        <v>0</v>
      </c>
      <c r="AI248" s="238"/>
      <c r="AK248" s="240"/>
    </row>
    <row r="249" spans="1:37" hidden="1" x14ac:dyDescent="0.2">
      <c r="A249" s="248"/>
      <c r="B249" s="234"/>
      <c r="C249" s="235"/>
      <c r="D249" s="235"/>
      <c r="E249" s="235"/>
      <c r="F249" s="236"/>
      <c r="G249" s="239"/>
      <c r="H249" s="248"/>
      <c r="I249" s="234"/>
      <c r="J249" s="235"/>
      <c r="K249" s="235"/>
      <c r="L249" s="235"/>
      <c r="M249" s="236"/>
      <c r="N249" s="239"/>
      <c r="O249" s="252"/>
      <c r="P249" s="234"/>
      <c r="Q249" s="235"/>
      <c r="R249" s="235"/>
      <c r="S249" s="235"/>
      <c r="T249" s="236"/>
      <c r="U249" s="239"/>
      <c r="V249" s="521"/>
      <c r="W249" s="234" t="s">
        <v>236</v>
      </c>
      <c r="X249" s="235">
        <f t="shared" si="49"/>
        <v>0</v>
      </c>
      <c r="Y249" s="235">
        <f t="shared" si="47"/>
        <v>0</v>
      </c>
      <c r="Z249" s="235">
        <f t="shared" si="52"/>
        <v>0</v>
      </c>
      <c r="AA249" s="247">
        <f t="shared" si="50"/>
        <v>0</v>
      </c>
      <c r="AB249" s="239">
        <f>SUM(Y238:Y249)</f>
        <v>0</v>
      </c>
      <c r="AC249" s="521"/>
      <c r="AD249" s="234" t="s">
        <v>236</v>
      </c>
      <c r="AE249" s="235">
        <f t="shared" si="46"/>
        <v>0</v>
      </c>
      <c r="AF249" s="235">
        <f t="shared" si="48"/>
        <v>0</v>
      </c>
      <c r="AG249" s="235">
        <f t="shared" si="45"/>
        <v>0</v>
      </c>
      <c r="AH249" s="247">
        <f t="shared" si="51"/>
        <v>0</v>
      </c>
      <c r="AI249" s="239">
        <f>SUM(AF238:AF249)</f>
        <v>0</v>
      </c>
      <c r="AJ249" s="208">
        <f>V238</f>
        <v>2040</v>
      </c>
      <c r="AK249" s="240">
        <f>G249+N249+U249+AB249+AI249</f>
        <v>0</v>
      </c>
    </row>
    <row r="250" spans="1:37" hidden="1" x14ac:dyDescent="0.2">
      <c r="A250" s="248"/>
      <c r="B250" s="234"/>
      <c r="C250" s="235"/>
      <c r="D250" s="235"/>
      <c r="E250" s="235"/>
      <c r="F250" s="236"/>
      <c r="G250" s="239"/>
      <c r="H250" s="248"/>
      <c r="I250" s="234"/>
      <c r="J250" s="235"/>
      <c r="K250" s="235"/>
      <c r="L250" s="235"/>
      <c r="M250" s="236"/>
      <c r="N250" s="239"/>
      <c r="O250" s="252"/>
      <c r="P250" s="234"/>
      <c r="Q250" s="235"/>
      <c r="R250" s="235"/>
      <c r="S250" s="235"/>
      <c r="T250" s="236"/>
      <c r="U250" s="239"/>
      <c r="V250" s="519">
        <v>2041</v>
      </c>
      <c r="W250" s="234" t="s">
        <v>225</v>
      </c>
      <c r="X250" s="235">
        <f t="shared" si="49"/>
        <v>0</v>
      </c>
      <c r="Y250" s="235">
        <f t="shared" si="47"/>
        <v>0</v>
      </c>
      <c r="Z250" s="235">
        <f t="shared" si="52"/>
        <v>0</v>
      </c>
      <c r="AA250" s="247">
        <f t="shared" si="50"/>
        <v>0</v>
      </c>
      <c r="AB250" s="237"/>
      <c r="AC250" s="519">
        <v>2041</v>
      </c>
      <c r="AD250" s="234" t="s">
        <v>225</v>
      </c>
      <c r="AE250" s="235">
        <f t="shared" si="46"/>
        <v>0</v>
      </c>
      <c r="AF250" s="235">
        <f t="shared" si="48"/>
        <v>0</v>
      </c>
      <c r="AG250" s="235">
        <f t="shared" si="45"/>
        <v>0</v>
      </c>
      <c r="AH250" s="247">
        <f t="shared" si="51"/>
        <v>0</v>
      </c>
      <c r="AI250" s="237"/>
      <c r="AK250" s="240"/>
    </row>
    <row r="251" spans="1:37" hidden="1" x14ac:dyDescent="0.2">
      <c r="A251" s="248"/>
      <c r="B251" s="234"/>
      <c r="C251" s="235"/>
      <c r="D251" s="235"/>
      <c r="E251" s="235"/>
      <c r="F251" s="236"/>
      <c r="G251" s="239"/>
      <c r="H251" s="248"/>
      <c r="I251" s="234"/>
      <c r="J251" s="235"/>
      <c r="K251" s="235"/>
      <c r="L251" s="235"/>
      <c r="M251" s="236"/>
      <c r="N251" s="239"/>
      <c r="O251" s="252"/>
      <c r="P251" s="234"/>
      <c r="Q251" s="235"/>
      <c r="R251" s="235"/>
      <c r="S251" s="235"/>
      <c r="T251" s="236"/>
      <c r="U251" s="239"/>
      <c r="V251" s="520"/>
      <c r="W251" s="234" t="s">
        <v>226</v>
      </c>
      <c r="X251" s="235">
        <f t="shared" si="49"/>
        <v>0</v>
      </c>
      <c r="Y251" s="235">
        <f t="shared" si="47"/>
        <v>0</v>
      </c>
      <c r="Z251" s="235">
        <f t="shared" si="52"/>
        <v>0</v>
      </c>
      <c r="AA251" s="247">
        <f t="shared" si="50"/>
        <v>0</v>
      </c>
      <c r="AB251" s="238"/>
      <c r="AC251" s="520"/>
      <c r="AD251" s="234" t="s">
        <v>226</v>
      </c>
      <c r="AE251" s="235">
        <f t="shared" si="46"/>
        <v>0</v>
      </c>
      <c r="AF251" s="235">
        <f t="shared" si="48"/>
        <v>0</v>
      </c>
      <c r="AG251" s="235">
        <f t="shared" si="45"/>
        <v>0</v>
      </c>
      <c r="AH251" s="247">
        <f t="shared" si="51"/>
        <v>0</v>
      </c>
      <c r="AI251" s="238"/>
      <c r="AK251" s="240"/>
    </row>
    <row r="252" spans="1:37" hidden="1" x14ac:dyDescent="0.2">
      <c r="A252" s="248"/>
      <c r="B252" s="234"/>
      <c r="C252" s="235"/>
      <c r="D252" s="235"/>
      <c r="E252" s="235"/>
      <c r="F252" s="236"/>
      <c r="G252" s="239"/>
      <c r="H252" s="248"/>
      <c r="I252" s="234"/>
      <c r="J252" s="235"/>
      <c r="K252" s="235"/>
      <c r="L252" s="235"/>
      <c r="M252" s="236"/>
      <c r="N252" s="239"/>
      <c r="O252" s="252"/>
      <c r="P252" s="234"/>
      <c r="Q252" s="235"/>
      <c r="R252" s="235"/>
      <c r="S252" s="235"/>
      <c r="T252" s="236"/>
      <c r="U252" s="239"/>
      <c r="V252" s="520"/>
      <c r="W252" s="234" t="s">
        <v>227</v>
      </c>
      <c r="X252" s="235">
        <f t="shared" si="49"/>
        <v>0</v>
      </c>
      <c r="Y252" s="235">
        <f t="shared" si="47"/>
        <v>0</v>
      </c>
      <c r="Z252" s="235">
        <f t="shared" si="52"/>
        <v>0</v>
      </c>
      <c r="AA252" s="247">
        <f t="shared" si="50"/>
        <v>0</v>
      </c>
      <c r="AB252" s="238"/>
      <c r="AC252" s="520"/>
      <c r="AD252" s="234" t="s">
        <v>227</v>
      </c>
      <c r="AE252" s="235">
        <f t="shared" si="46"/>
        <v>0</v>
      </c>
      <c r="AF252" s="235">
        <f t="shared" si="48"/>
        <v>0</v>
      </c>
      <c r="AG252" s="235">
        <f t="shared" si="45"/>
        <v>0</v>
      </c>
      <c r="AH252" s="247">
        <f t="shared" si="51"/>
        <v>0</v>
      </c>
      <c r="AI252" s="238"/>
      <c r="AK252" s="240"/>
    </row>
    <row r="253" spans="1:37" hidden="1" x14ac:dyDescent="0.2">
      <c r="A253" s="248"/>
      <c r="B253" s="234"/>
      <c r="C253" s="235"/>
      <c r="D253" s="235"/>
      <c r="E253" s="235"/>
      <c r="F253" s="236"/>
      <c r="G253" s="239"/>
      <c r="H253" s="248"/>
      <c r="I253" s="234"/>
      <c r="J253" s="235"/>
      <c r="K253" s="235"/>
      <c r="L253" s="235"/>
      <c r="M253" s="236"/>
      <c r="N253" s="239"/>
      <c r="O253" s="252"/>
      <c r="P253" s="234"/>
      <c r="Q253" s="235"/>
      <c r="R253" s="235"/>
      <c r="S253" s="235"/>
      <c r="T253" s="236"/>
      <c r="U253" s="239"/>
      <c r="V253" s="520"/>
      <c r="W253" s="234" t="s">
        <v>228</v>
      </c>
      <c r="X253" s="235">
        <f t="shared" si="49"/>
        <v>0</v>
      </c>
      <c r="Y253" s="235">
        <f t="shared" si="47"/>
        <v>0</v>
      </c>
      <c r="Z253" s="235">
        <f t="shared" si="52"/>
        <v>0</v>
      </c>
      <c r="AA253" s="247">
        <f t="shared" si="50"/>
        <v>0</v>
      </c>
      <c r="AB253" s="238"/>
      <c r="AC253" s="520"/>
      <c r="AD253" s="234" t="s">
        <v>228</v>
      </c>
      <c r="AE253" s="235">
        <f t="shared" si="46"/>
        <v>0</v>
      </c>
      <c r="AF253" s="235">
        <f t="shared" si="48"/>
        <v>0</v>
      </c>
      <c r="AG253" s="235">
        <f t="shared" si="45"/>
        <v>0</v>
      </c>
      <c r="AH253" s="247">
        <f t="shared" si="51"/>
        <v>0</v>
      </c>
      <c r="AI253" s="238"/>
      <c r="AK253" s="240"/>
    </row>
    <row r="254" spans="1:37" hidden="1" x14ac:dyDescent="0.2">
      <c r="A254" s="248"/>
      <c r="B254" s="234"/>
      <c r="C254" s="235"/>
      <c r="D254" s="235"/>
      <c r="E254" s="235"/>
      <c r="F254" s="236"/>
      <c r="G254" s="239"/>
      <c r="H254" s="248"/>
      <c r="I254" s="234"/>
      <c r="J254" s="235"/>
      <c r="K254" s="235"/>
      <c r="L254" s="235"/>
      <c r="M254" s="236"/>
      <c r="N254" s="239"/>
      <c r="O254" s="252"/>
      <c r="P254" s="234"/>
      <c r="Q254" s="235"/>
      <c r="R254" s="235"/>
      <c r="S254" s="235"/>
      <c r="T254" s="236"/>
      <c r="U254" s="239"/>
      <c r="V254" s="520"/>
      <c r="W254" s="234" t="s">
        <v>229</v>
      </c>
      <c r="X254" s="235">
        <f t="shared" si="49"/>
        <v>0</v>
      </c>
      <c r="Y254" s="235">
        <f t="shared" si="47"/>
        <v>0</v>
      </c>
      <c r="Z254" s="235">
        <f t="shared" si="52"/>
        <v>0</v>
      </c>
      <c r="AA254" s="247">
        <f t="shared" si="50"/>
        <v>0</v>
      </c>
      <c r="AB254" s="238"/>
      <c r="AC254" s="520"/>
      <c r="AD254" s="234" t="s">
        <v>229</v>
      </c>
      <c r="AE254" s="235">
        <f t="shared" si="46"/>
        <v>0</v>
      </c>
      <c r="AF254" s="235">
        <f t="shared" si="48"/>
        <v>0</v>
      </c>
      <c r="AG254" s="235">
        <f t="shared" si="45"/>
        <v>0</v>
      </c>
      <c r="AH254" s="247">
        <f t="shared" si="51"/>
        <v>0</v>
      </c>
      <c r="AI254" s="238"/>
      <c r="AK254" s="240"/>
    </row>
    <row r="255" spans="1:37" hidden="1" x14ac:dyDescent="0.2">
      <c r="A255" s="248"/>
      <c r="B255" s="234"/>
      <c r="C255" s="235"/>
      <c r="D255" s="235"/>
      <c r="E255" s="235"/>
      <c r="F255" s="236"/>
      <c r="G255" s="239"/>
      <c r="H255" s="248"/>
      <c r="I255" s="234"/>
      <c r="J255" s="235"/>
      <c r="K255" s="235"/>
      <c r="L255" s="235"/>
      <c r="M255" s="236"/>
      <c r="N255" s="239"/>
      <c r="O255" s="252"/>
      <c r="P255" s="234"/>
      <c r="Q255" s="235"/>
      <c r="R255" s="235"/>
      <c r="S255" s="235"/>
      <c r="T255" s="236"/>
      <c r="U255" s="239"/>
      <c r="V255" s="520"/>
      <c r="W255" s="234" t="s">
        <v>230</v>
      </c>
      <c r="X255" s="235">
        <f t="shared" si="49"/>
        <v>0</v>
      </c>
      <c r="Y255" s="235">
        <f t="shared" si="47"/>
        <v>0</v>
      </c>
      <c r="Z255" s="235">
        <f t="shared" si="52"/>
        <v>0</v>
      </c>
      <c r="AA255" s="247">
        <f t="shared" si="50"/>
        <v>0</v>
      </c>
      <c r="AB255" s="238"/>
      <c r="AC255" s="520"/>
      <c r="AD255" s="234" t="s">
        <v>230</v>
      </c>
      <c r="AE255" s="235">
        <f t="shared" si="46"/>
        <v>0</v>
      </c>
      <c r="AF255" s="235">
        <f t="shared" si="48"/>
        <v>0</v>
      </c>
      <c r="AG255" s="235">
        <f t="shared" si="45"/>
        <v>0</v>
      </c>
      <c r="AH255" s="247">
        <f t="shared" si="51"/>
        <v>0</v>
      </c>
      <c r="AI255" s="238"/>
      <c r="AK255" s="240"/>
    </row>
    <row r="256" spans="1:37" hidden="1" x14ac:dyDescent="0.2">
      <c r="A256" s="248"/>
      <c r="B256" s="234"/>
      <c r="C256" s="235"/>
      <c r="D256" s="235"/>
      <c r="E256" s="235"/>
      <c r="F256" s="236"/>
      <c r="G256" s="239"/>
      <c r="H256" s="248"/>
      <c r="I256" s="234"/>
      <c r="J256" s="235"/>
      <c r="K256" s="235"/>
      <c r="L256" s="235"/>
      <c r="M256" s="236"/>
      <c r="N256" s="239"/>
      <c r="O256" s="252"/>
      <c r="P256" s="234"/>
      <c r="Q256" s="235"/>
      <c r="R256" s="235"/>
      <c r="S256" s="235"/>
      <c r="T256" s="236"/>
      <c r="U256" s="239"/>
      <c r="V256" s="520"/>
      <c r="W256" s="234" t="s">
        <v>231</v>
      </c>
      <c r="X256" s="235">
        <f t="shared" si="49"/>
        <v>0</v>
      </c>
      <c r="Y256" s="235">
        <f t="shared" si="47"/>
        <v>0</v>
      </c>
      <c r="Z256" s="235">
        <f t="shared" si="52"/>
        <v>0</v>
      </c>
      <c r="AA256" s="247">
        <f t="shared" si="50"/>
        <v>0</v>
      </c>
      <c r="AB256" s="238"/>
      <c r="AC256" s="520"/>
      <c r="AD256" s="234" t="s">
        <v>231</v>
      </c>
      <c r="AE256" s="235">
        <f t="shared" si="46"/>
        <v>0</v>
      </c>
      <c r="AF256" s="235">
        <f t="shared" si="48"/>
        <v>0</v>
      </c>
      <c r="AG256" s="235">
        <f t="shared" ref="AG256:AG309" si="53">AE$7/AF$8</f>
        <v>0</v>
      </c>
      <c r="AH256" s="247">
        <f t="shared" si="51"/>
        <v>0</v>
      </c>
      <c r="AI256" s="238"/>
      <c r="AK256" s="240"/>
    </row>
    <row r="257" spans="1:37" hidden="1" x14ac:dyDescent="0.2">
      <c r="A257" s="248"/>
      <c r="B257" s="234"/>
      <c r="C257" s="235"/>
      <c r="D257" s="235"/>
      <c r="E257" s="235"/>
      <c r="F257" s="236"/>
      <c r="G257" s="239"/>
      <c r="H257" s="248"/>
      <c r="I257" s="234"/>
      <c r="J257" s="235"/>
      <c r="K257" s="235"/>
      <c r="L257" s="235"/>
      <c r="M257" s="236"/>
      <c r="N257" s="239"/>
      <c r="O257" s="252"/>
      <c r="P257" s="234"/>
      <c r="Q257" s="235"/>
      <c r="R257" s="235"/>
      <c r="S257" s="235"/>
      <c r="T257" s="236"/>
      <c r="U257" s="239"/>
      <c r="V257" s="520"/>
      <c r="W257" s="234" t="s">
        <v>232</v>
      </c>
      <c r="X257" s="235">
        <f t="shared" si="49"/>
        <v>0</v>
      </c>
      <c r="Y257" s="235">
        <f t="shared" si="47"/>
        <v>0</v>
      </c>
      <c r="Z257" s="235">
        <f t="shared" si="52"/>
        <v>0</v>
      </c>
      <c r="AA257" s="247">
        <f t="shared" si="50"/>
        <v>0</v>
      </c>
      <c r="AB257" s="238"/>
      <c r="AC257" s="520"/>
      <c r="AD257" s="234" t="s">
        <v>232</v>
      </c>
      <c r="AE257" s="235">
        <f t="shared" si="46"/>
        <v>0</v>
      </c>
      <c r="AF257" s="235">
        <f t="shared" si="48"/>
        <v>0</v>
      </c>
      <c r="AG257" s="235">
        <f t="shared" si="53"/>
        <v>0</v>
      </c>
      <c r="AH257" s="247">
        <f t="shared" si="51"/>
        <v>0</v>
      </c>
      <c r="AI257" s="238"/>
      <c r="AK257" s="240"/>
    </row>
    <row r="258" spans="1:37" hidden="1" x14ac:dyDescent="0.2">
      <c r="A258" s="248"/>
      <c r="B258" s="234"/>
      <c r="C258" s="235"/>
      <c r="D258" s="235"/>
      <c r="E258" s="235"/>
      <c r="F258" s="236"/>
      <c r="G258" s="239"/>
      <c r="H258" s="248"/>
      <c r="I258" s="234"/>
      <c r="J258" s="235"/>
      <c r="K258" s="235"/>
      <c r="L258" s="235"/>
      <c r="M258" s="236"/>
      <c r="N258" s="239"/>
      <c r="O258" s="252"/>
      <c r="P258" s="234"/>
      <c r="Q258" s="235"/>
      <c r="R258" s="235"/>
      <c r="S258" s="235"/>
      <c r="T258" s="236"/>
      <c r="U258" s="239"/>
      <c r="V258" s="520"/>
      <c r="W258" s="234" t="s">
        <v>233</v>
      </c>
      <c r="X258" s="235">
        <f t="shared" si="49"/>
        <v>0</v>
      </c>
      <c r="Y258" s="235">
        <f t="shared" si="47"/>
        <v>0</v>
      </c>
      <c r="Z258" s="235">
        <f t="shared" si="52"/>
        <v>0</v>
      </c>
      <c r="AA258" s="247">
        <f t="shared" si="50"/>
        <v>0</v>
      </c>
      <c r="AB258" s="238"/>
      <c r="AC258" s="520"/>
      <c r="AD258" s="234" t="s">
        <v>233</v>
      </c>
      <c r="AE258" s="235">
        <f t="shared" si="46"/>
        <v>0</v>
      </c>
      <c r="AF258" s="235">
        <f t="shared" si="48"/>
        <v>0</v>
      </c>
      <c r="AG258" s="235">
        <f t="shared" si="53"/>
        <v>0</v>
      </c>
      <c r="AH258" s="247">
        <f t="shared" si="51"/>
        <v>0</v>
      </c>
      <c r="AI258" s="238"/>
      <c r="AK258" s="240"/>
    </row>
    <row r="259" spans="1:37" hidden="1" x14ac:dyDescent="0.2">
      <c r="A259" s="248"/>
      <c r="B259" s="234"/>
      <c r="C259" s="235"/>
      <c r="D259" s="235"/>
      <c r="E259" s="235"/>
      <c r="F259" s="236"/>
      <c r="G259" s="239"/>
      <c r="H259" s="248"/>
      <c r="I259" s="234"/>
      <c r="J259" s="235"/>
      <c r="K259" s="235"/>
      <c r="L259" s="235"/>
      <c r="M259" s="236"/>
      <c r="N259" s="239"/>
      <c r="O259" s="252"/>
      <c r="P259" s="234"/>
      <c r="Q259" s="235"/>
      <c r="R259" s="235"/>
      <c r="S259" s="235"/>
      <c r="T259" s="236"/>
      <c r="U259" s="239"/>
      <c r="V259" s="520"/>
      <c r="W259" s="234" t="s">
        <v>234</v>
      </c>
      <c r="X259" s="235">
        <f t="shared" si="49"/>
        <v>0</v>
      </c>
      <c r="Y259" s="235">
        <f t="shared" si="47"/>
        <v>0</v>
      </c>
      <c r="Z259" s="235">
        <f t="shared" si="52"/>
        <v>0</v>
      </c>
      <c r="AA259" s="247">
        <f t="shared" si="50"/>
        <v>0</v>
      </c>
      <c r="AB259" s="238"/>
      <c r="AC259" s="520"/>
      <c r="AD259" s="234" t="s">
        <v>234</v>
      </c>
      <c r="AE259" s="235">
        <f t="shared" si="46"/>
        <v>0</v>
      </c>
      <c r="AF259" s="235">
        <f t="shared" si="48"/>
        <v>0</v>
      </c>
      <c r="AG259" s="235">
        <f t="shared" si="53"/>
        <v>0</v>
      </c>
      <c r="AH259" s="247">
        <f t="shared" si="51"/>
        <v>0</v>
      </c>
      <c r="AI259" s="238"/>
      <c r="AK259" s="240"/>
    </row>
    <row r="260" spans="1:37" hidden="1" x14ac:dyDescent="0.2">
      <c r="A260" s="248"/>
      <c r="B260" s="234"/>
      <c r="C260" s="235"/>
      <c r="D260" s="235"/>
      <c r="E260" s="235"/>
      <c r="F260" s="236"/>
      <c r="G260" s="239"/>
      <c r="H260" s="248"/>
      <c r="I260" s="234"/>
      <c r="J260" s="235"/>
      <c r="K260" s="235"/>
      <c r="L260" s="235"/>
      <c r="M260" s="236"/>
      <c r="N260" s="239"/>
      <c r="O260" s="252"/>
      <c r="P260" s="234"/>
      <c r="Q260" s="235"/>
      <c r="R260" s="235"/>
      <c r="S260" s="235"/>
      <c r="T260" s="236"/>
      <c r="U260" s="239"/>
      <c r="V260" s="520"/>
      <c r="W260" s="234" t="s">
        <v>235</v>
      </c>
      <c r="X260" s="235">
        <f t="shared" si="49"/>
        <v>0</v>
      </c>
      <c r="Y260" s="235">
        <f t="shared" si="47"/>
        <v>0</v>
      </c>
      <c r="Z260" s="235">
        <f t="shared" si="52"/>
        <v>0</v>
      </c>
      <c r="AA260" s="247">
        <f t="shared" si="50"/>
        <v>0</v>
      </c>
      <c r="AB260" s="238"/>
      <c r="AC260" s="520"/>
      <c r="AD260" s="234" t="s">
        <v>235</v>
      </c>
      <c r="AE260" s="235">
        <f t="shared" si="46"/>
        <v>0</v>
      </c>
      <c r="AF260" s="235">
        <f t="shared" si="48"/>
        <v>0</v>
      </c>
      <c r="AG260" s="235">
        <f t="shared" si="53"/>
        <v>0</v>
      </c>
      <c r="AH260" s="247">
        <f t="shared" si="51"/>
        <v>0</v>
      </c>
      <c r="AI260" s="238"/>
      <c r="AK260" s="240"/>
    </row>
    <row r="261" spans="1:37" hidden="1" x14ac:dyDescent="0.2">
      <c r="A261" s="248"/>
      <c r="B261" s="234"/>
      <c r="C261" s="235"/>
      <c r="D261" s="235"/>
      <c r="E261" s="235"/>
      <c r="F261" s="236"/>
      <c r="G261" s="239"/>
      <c r="H261" s="248"/>
      <c r="I261" s="234"/>
      <c r="J261" s="235"/>
      <c r="K261" s="235"/>
      <c r="L261" s="235"/>
      <c r="M261" s="236"/>
      <c r="N261" s="239"/>
      <c r="O261" s="252"/>
      <c r="P261" s="234"/>
      <c r="Q261" s="235"/>
      <c r="R261" s="235"/>
      <c r="S261" s="235"/>
      <c r="T261" s="236"/>
      <c r="U261" s="239"/>
      <c r="V261" s="521"/>
      <c r="W261" s="234" t="s">
        <v>236</v>
      </c>
      <c r="X261" s="235">
        <f t="shared" si="49"/>
        <v>0</v>
      </c>
      <c r="Y261" s="235">
        <f t="shared" si="47"/>
        <v>0</v>
      </c>
      <c r="Z261" s="235">
        <f t="shared" si="52"/>
        <v>0</v>
      </c>
      <c r="AA261" s="247">
        <f t="shared" si="50"/>
        <v>0</v>
      </c>
      <c r="AB261" s="239">
        <f>SUM(Y250:Y261)</f>
        <v>0</v>
      </c>
      <c r="AC261" s="521"/>
      <c r="AD261" s="234" t="s">
        <v>236</v>
      </c>
      <c r="AE261" s="235">
        <f t="shared" si="46"/>
        <v>0</v>
      </c>
      <c r="AF261" s="235">
        <f t="shared" si="48"/>
        <v>0</v>
      </c>
      <c r="AG261" s="235">
        <f t="shared" si="53"/>
        <v>0</v>
      </c>
      <c r="AH261" s="247">
        <f t="shared" si="51"/>
        <v>0</v>
      </c>
      <c r="AI261" s="239">
        <f>SUM(AF250:AF261)</f>
        <v>0</v>
      </c>
      <c r="AJ261" s="208">
        <f>V250</f>
        <v>2041</v>
      </c>
      <c r="AK261" s="240">
        <f>G261+N261+U261+AB261+AI261</f>
        <v>0</v>
      </c>
    </row>
    <row r="262" spans="1:37" hidden="1" x14ac:dyDescent="0.2">
      <c r="A262" s="248"/>
      <c r="B262" s="234"/>
      <c r="C262" s="235"/>
      <c r="D262" s="235"/>
      <c r="E262" s="235"/>
      <c r="F262" s="236"/>
      <c r="G262" s="239"/>
      <c r="H262" s="248"/>
      <c r="I262" s="234"/>
      <c r="J262" s="235"/>
      <c r="K262" s="235"/>
      <c r="L262" s="235"/>
      <c r="M262" s="236"/>
      <c r="N262" s="239"/>
      <c r="O262" s="252"/>
      <c r="P262" s="234"/>
      <c r="Q262" s="235"/>
      <c r="R262" s="235"/>
      <c r="S262" s="235"/>
      <c r="T262" s="236"/>
      <c r="U262" s="239"/>
      <c r="V262" s="519">
        <v>2042</v>
      </c>
      <c r="W262" s="234" t="s">
        <v>225</v>
      </c>
      <c r="X262" s="235">
        <f t="shared" si="49"/>
        <v>0</v>
      </c>
      <c r="Y262" s="235">
        <f t="shared" si="47"/>
        <v>0</v>
      </c>
      <c r="Z262" s="235">
        <f t="shared" si="52"/>
        <v>0</v>
      </c>
      <c r="AA262" s="247">
        <f t="shared" si="50"/>
        <v>0</v>
      </c>
      <c r="AB262" s="237"/>
      <c r="AC262" s="519">
        <v>2042</v>
      </c>
      <c r="AD262" s="234" t="s">
        <v>225</v>
      </c>
      <c r="AE262" s="235">
        <f t="shared" si="46"/>
        <v>0</v>
      </c>
      <c r="AF262" s="235">
        <f t="shared" si="48"/>
        <v>0</v>
      </c>
      <c r="AG262" s="235">
        <f t="shared" si="53"/>
        <v>0</v>
      </c>
      <c r="AH262" s="247">
        <f t="shared" si="51"/>
        <v>0</v>
      </c>
      <c r="AI262" s="237"/>
      <c r="AK262" s="240"/>
    </row>
    <row r="263" spans="1:37" hidden="1" x14ac:dyDescent="0.2">
      <c r="A263" s="248"/>
      <c r="B263" s="234"/>
      <c r="C263" s="235"/>
      <c r="D263" s="235"/>
      <c r="E263" s="235"/>
      <c r="F263" s="236"/>
      <c r="G263" s="239"/>
      <c r="H263" s="248"/>
      <c r="I263" s="234"/>
      <c r="J263" s="235"/>
      <c r="K263" s="235"/>
      <c r="L263" s="235"/>
      <c r="M263" s="236"/>
      <c r="N263" s="239"/>
      <c r="O263" s="252"/>
      <c r="P263" s="234"/>
      <c r="Q263" s="235"/>
      <c r="R263" s="235"/>
      <c r="S263" s="235"/>
      <c r="T263" s="236"/>
      <c r="U263" s="239"/>
      <c r="V263" s="520"/>
      <c r="W263" s="234" t="s">
        <v>226</v>
      </c>
      <c r="X263" s="235">
        <f t="shared" si="49"/>
        <v>0</v>
      </c>
      <c r="Y263" s="235">
        <f t="shared" si="47"/>
        <v>0</v>
      </c>
      <c r="Z263" s="235">
        <f t="shared" si="52"/>
        <v>0</v>
      </c>
      <c r="AA263" s="247">
        <f t="shared" si="50"/>
        <v>0</v>
      </c>
      <c r="AB263" s="238"/>
      <c r="AC263" s="520"/>
      <c r="AD263" s="234" t="s">
        <v>226</v>
      </c>
      <c r="AE263" s="235">
        <f t="shared" si="46"/>
        <v>0</v>
      </c>
      <c r="AF263" s="235">
        <f t="shared" si="48"/>
        <v>0</v>
      </c>
      <c r="AG263" s="235">
        <f t="shared" si="53"/>
        <v>0</v>
      </c>
      <c r="AH263" s="247">
        <f t="shared" si="51"/>
        <v>0</v>
      </c>
      <c r="AI263" s="238"/>
      <c r="AK263" s="240"/>
    </row>
    <row r="264" spans="1:37" hidden="1" x14ac:dyDescent="0.2">
      <c r="A264" s="248"/>
      <c r="B264" s="234"/>
      <c r="C264" s="235"/>
      <c r="D264" s="235"/>
      <c r="E264" s="235"/>
      <c r="F264" s="236"/>
      <c r="G264" s="239"/>
      <c r="H264" s="248"/>
      <c r="I264" s="234"/>
      <c r="J264" s="235"/>
      <c r="K264" s="235"/>
      <c r="L264" s="235"/>
      <c r="M264" s="236"/>
      <c r="N264" s="239"/>
      <c r="O264" s="252"/>
      <c r="P264" s="234"/>
      <c r="Q264" s="235"/>
      <c r="R264" s="235"/>
      <c r="S264" s="235"/>
      <c r="T264" s="236"/>
      <c r="U264" s="239"/>
      <c r="V264" s="520"/>
      <c r="W264" s="234" t="s">
        <v>227</v>
      </c>
      <c r="X264" s="235">
        <f t="shared" si="49"/>
        <v>0</v>
      </c>
      <c r="Y264" s="235">
        <f t="shared" si="47"/>
        <v>0</v>
      </c>
      <c r="Z264" s="235">
        <f t="shared" si="52"/>
        <v>0</v>
      </c>
      <c r="AA264" s="247">
        <f t="shared" si="50"/>
        <v>0</v>
      </c>
      <c r="AB264" s="238"/>
      <c r="AC264" s="520"/>
      <c r="AD264" s="234" t="s">
        <v>227</v>
      </c>
      <c r="AE264" s="235">
        <f t="shared" si="46"/>
        <v>0</v>
      </c>
      <c r="AF264" s="235">
        <f t="shared" si="48"/>
        <v>0</v>
      </c>
      <c r="AG264" s="235">
        <f t="shared" si="53"/>
        <v>0</v>
      </c>
      <c r="AH264" s="247">
        <f t="shared" si="51"/>
        <v>0</v>
      </c>
      <c r="AI264" s="238"/>
      <c r="AK264" s="240"/>
    </row>
    <row r="265" spans="1:37" hidden="1" x14ac:dyDescent="0.2">
      <c r="A265" s="248"/>
      <c r="B265" s="234"/>
      <c r="C265" s="235"/>
      <c r="D265" s="235"/>
      <c r="E265" s="235"/>
      <c r="F265" s="236"/>
      <c r="G265" s="239"/>
      <c r="H265" s="248"/>
      <c r="I265" s="234"/>
      <c r="J265" s="235"/>
      <c r="K265" s="235"/>
      <c r="L265" s="235"/>
      <c r="M265" s="236"/>
      <c r="N265" s="239"/>
      <c r="O265" s="252"/>
      <c r="P265" s="234"/>
      <c r="Q265" s="235"/>
      <c r="R265" s="235"/>
      <c r="S265" s="235"/>
      <c r="T265" s="236"/>
      <c r="U265" s="239"/>
      <c r="V265" s="520"/>
      <c r="W265" s="234" t="s">
        <v>228</v>
      </c>
      <c r="X265" s="235">
        <f t="shared" si="49"/>
        <v>0</v>
      </c>
      <c r="Y265" s="235">
        <f t="shared" si="47"/>
        <v>0</v>
      </c>
      <c r="Z265" s="235">
        <f t="shared" si="52"/>
        <v>0</v>
      </c>
      <c r="AA265" s="247">
        <f t="shared" si="50"/>
        <v>0</v>
      </c>
      <c r="AB265" s="238"/>
      <c r="AC265" s="520"/>
      <c r="AD265" s="234" t="s">
        <v>228</v>
      </c>
      <c r="AE265" s="235">
        <f t="shared" si="46"/>
        <v>0</v>
      </c>
      <c r="AF265" s="235">
        <f t="shared" si="48"/>
        <v>0</v>
      </c>
      <c r="AG265" s="235">
        <f t="shared" si="53"/>
        <v>0</v>
      </c>
      <c r="AH265" s="247">
        <f t="shared" si="51"/>
        <v>0</v>
      </c>
      <c r="AI265" s="238"/>
      <c r="AK265" s="240"/>
    </row>
    <row r="266" spans="1:37" hidden="1" x14ac:dyDescent="0.2">
      <c r="A266" s="248"/>
      <c r="B266" s="234"/>
      <c r="C266" s="235"/>
      <c r="D266" s="235"/>
      <c r="E266" s="235"/>
      <c r="F266" s="236"/>
      <c r="G266" s="239"/>
      <c r="H266" s="248"/>
      <c r="I266" s="234"/>
      <c r="J266" s="235"/>
      <c r="K266" s="235"/>
      <c r="L266" s="235"/>
      <c r="M266" s="236"/>
      <c r="N266" s="239"/>
      <c r="O266" s="252"/>
      <c r="P266" s="234"/>
      <c r="Q266" s="235"/>
      <c r="R266" s="235"/>
      <c r="S266" s="235"/>
      <c r="T266" s="236"/>
      <c r="U266" s="239"/>
      <c r="V266" s="520"/>
      <c r="W266" s="234" t="s">
        <v>229</v>
      </c>
      <c r="X266" s="235">
        <f t="shared" si="49"/>
        <v>0</v>
      </c>
      <c r="Y266" s="235">
        <f t="shared" si="47"/>
        <v>0</v>
      </c>
      <c r="Z266" s="235">
        <f t="shared" si="52"/>
        <v>0</v>
      </c>
      <c r="AA266" s="247">
        <f t="shared" si="50"/>
        <v>0</v>
      </c>
      <c r="AB266" s="238"/>
      <c r="AC266" s="520"/>
      <c r="AD266" s="234" t="s">
        <v>229</v>
      </c>
      <c r="AE266" s="235">
        <f t="shared" si="46"/>
        <v>0</v>
      </c>
      <c r="AF266" s="235">
        <f t="shared" si="48"/>
        <v>0</v>
      </c>
      <c r="AG266" s="235">
        <f t="shared" si="53"/>
        <v>0</v>
      </c>
      <c r="AH266" s="247">
        <f t="shared" si="51"/>
        <v>0</v>
      </c>
      <c r="AI266" s="238"/>
      <c r="AK266" s="240"/>
    </row>
    <row r="267" spans="1:37" hidden="1" x14ac:dyDescent="0.2">
      <c r="A267" s="248"/>
      <c r="B267" s="234"/>
      <c r="C267" s="235"/>
      <c r="D267" s="235"/>
      <c r="E267" s="235"/>
      <c r="F267" s="236"/>
      <c r="G267" s="239"/>
      <c r="H267" s="248"/>
      <c r="I267" s="234"/>
      <c r="J267" s="235"/>
      <c r="K267" s="235"/>
      <c r="L267" s="235"/>
      <c r="M267" s="236"/>
      <c r="N267" s="239"/>
      <c r="O267" s="252"/>
      <c r="P267" s="234"/>
      <c r="Q267" s="235"/>
      <c r="R267" s="235"/>
      <c r="S267" s="235"/>
      <c r="T267" s="236"/>
      <c r="U267" s="239"/>
      <c r="V267" s="520"/>
      <c r="W267" s="234" t="s">
        <v>230</v>
      </c>
      <c r="X267" s="235">
        <f t="shared" si="49"/>
        <v>0</v>
      </c>
      <c r="Y267" s="235">
        <f t="shared" si="47"/>
        <v>0</v>
      </c>
      <c r="Z267" s="235">
        <f t="shared" si="52"/>
        <v>0</v>
      </c>
      <c r="AA267" s="247">
        <f t="shared" si="50"/>
        <v>0</v>
      </c>
      <c r="AB267" s="238"/>
      <c r="AC267" s="520"/>
      <c r="AD267" s="234" t="s">
        <v>230</v>
      </c>
      <c r="AE267" s="235">
        <f t="shared" si="46"/>
        <v>0</v>
      </c>
      <c r="AF267" s="235">
        <f t="shared" si="48"/>
        <v>0</v>
      </c>
      <c r="AG267" s="235">
        <f t="shared" si="53"/>
        <v>0</v>
      </c>
      <c r="AH267" s="247">
        <f t="shared" si="51"/>
        <v>0</v>
      </c>
      <c r="AI267" s="238"/>
      <c r="AK267" s="240"/>
    </row>
    <row r="268" spans="1:37" hidden="1" x14ac:dyDescent="0.2">
      <c r="A268" s="248"/>
      <c r="B268" s="234"/>
      <c r="C268" s="235"/>
      <c r="D268" s="235"/>
      <c r="E268" s="235"/>
      <c r="F268" s="236"/>
      <c r="G268" s="239"/>
      <c r="H268" s="248"/>
      <c r="I268" s="234"/>
      <c r="J268" s="235"/>
      <c r="K268" s="235"/>
      <c r="L268" s="235"/>
      <c r="M268" s="236"/>
      <c r="N268" s="239"/>
      <c r="O268" s="252"/>
      <c r="P268" s="234"/>
      <c r="Q268" s="235"/>
      <c r="R268" s="235"/>
      <c r="S268" s="235"/>
      <c r="T268" s="236"/>
      <c r="U268" s="239"/>
      <c r="V268" s="520"/>
      <c r="W268" s="234" t="s">
        <v>231</v>
      </c>
      <c r="X268" s="235">
        <f t="shared" si="49"/>
        <v>0</v>
      </c>
      <c r="Y268" s="235">
        <f t="shared" si="47"/>
        <v>0</v>
      </c>
      <c r="Z268" s="235">
        <f t="shared" si="52"/>
        <v>0</v>
      </c>
      <c r="AA268" s="247">
        <f t="shared" si="50"/>
        <v>0</v>
      </c>
      <c r="AB268" s="238"/>
      <c r="AC268" s="520"/>
      <c r="AD268" s="234" t="s">
        <v>231</v>
      </c>
      <c r="AE268" s="235">
        <f t="shared" si="46"/>
        <v>0</v>
      </c>
      <c r="AF268" s="235">
        <f t="shared" si="48"/>
        <v>0</v>
      </c>
      <c r="AG268" s="235">
        <f t="shared" si="53"/>
        <v>0</v>
      </c>
      <c r="AH268" s="247">
        <f t="shared" si="51"/>
        <v>0</v>
      </c>
      <c r="AI268" s="238"/>
      <c r="AK268" s="240"/>
    </row>
    <row r="269" spans="1:37" hidden="1" x14ac:dyDescent="0.2">
      <c r="A269" s="248"/>
      <c r="B269" s="234"/>
      <c r="C269" s="235"/>
      <c r="D269" s="235"/>
      <c r="E269" s="235"/>
      <c r="F269" s="236"/>
      <c r="G269" s="239"/>
      <c r="H269" s="248"/>
      <c r="I269" s="234"/>
      <c r="J269" s="235"/>
      <c r="K269" s="235"/>
      <c r="L269" s="235"/>
      <c r="M269" s="236"/>
      <c r="N269" s="239"/>
      <c r="O269" s="252"/>
      <c r="P269" s="234"/>
      <c r="Q269" s="235"/>
      <c r="R269" s="235"/>
      <c r="S269" s="235"/>
      <c r="T269" s="236"/>
      <c r="U269" s="239"/>
      <c r="V269" s="520"/>
      <c r="W269" s="234" t="s">
        <v>232</v>
      </c>
      <c r="X269" s="235">
        <f t="shared" si="49"/>
        <v>0</v>
      </c>
      <c r="Y269" s="235">
        <f t="shared" si="47"/>
        <v>0</v>
      </c>
      <c r="Z269" s="235">
        <f t="shared" si="52"/>
        <v>0</v>
      </c>
      <c r="AA269" s="247">
        <f t="shared" si="50"/>
        <v>0</v>
      </c>
      <c r="AB269" s="238"/>
      <c r="AC269" s="520"/>
      <c r="AD269" s="234" t="s">
        <v>232</v>
      </c>
      <c r="AE269" s="235">
        <f t="shared" si="46"/>
        <v>0</v>
      </c>
      <c r="AF269" s="235">
        <f t="shared" si="48"/>
        <v>0</v>
      </c>
      <c r="AG269" s="235">
        <f t="shared" si="53"/>
        <v>0</v>
      </c>
      <c r="AH269" s="247">
        <f t="shared" si="51"/>
        <v>0</v>
      </c>
      <c r="AI269" s="238"/>
      <c r="AK269" s="240"/>
    </row>
    <row r="270" spans="1:37" hidden="1" x14ac:dyDescent="0.2">
      <c r="A270" s="248"/>
      <c r="B270" s="234"/>
      <c r="C270" s="235"/>
      <c r="D270" s="235"/>
      <c r="E270" s="235"/>
      <c r="F270" s="236"/>
      <c r="G270" s="239"/>
      <c r="H270" s="248"/>
      <c r="I270" s="234"/>
      <c r="J270" s="235"/>
      <c r="K270" s="235"/>
      <c r="L270" s="235"/>
      <c r="M270" s="236"/>
      <c r="N270" s="239"/>
      <c r="O270" s="252"/>
      <c r="P270" s="234"/>
      <c r="Q270" s="235"/>
      <c r="R270" s="235"/>
      <c r="S270" s="235"/>
      <c r="T270" s="236"/>
      <c r="U270" s="239"/>
      <c r="V270" s="520"/>
      <c r="W270" s="234" t="s">
        <v>233</v>
      </c>
      <c r="X270" s="235">
        <f t="shared" si="49"/>
        <v>0</v>
      </c>
      <c r="Y270" s="235">
        <f t="shared" si="47"/>
        <v>0</v>
      </c>
      <c r="Z270" s="235">
        <f t="shared" si="52"/>
        <v>0</v>
      </c>
      <c r="AA270" s="247">
        <f t="shared" si="50"/>
        <v>0</v>
      </c>
      <c r="AB270" s="238"/>
      <c r="AC270" s="520"/>
      <c r="AD270" s="234" t="s">
        <v>233</v>
      </c>
      <c r="AE270" s="235">
        <f t="shared" si="46"/>
        <v>0</v>
      </c>
      <c r="AF270" s="235">
        <f t="shared" si="48"/>
        <v>0</v>
      </c>
      <c r="AG270" s="235">
        <f t="shared" si="53"/>
        <v>0</v>
      </c>
      <c r="AH270" s="247">
        <f t="shared" si="51"/>
        <v>0</v>
      </c>
      <c r="AI270" s="238"/>
      <c r="AK270" s="240"/>
    </row>
    <row r="271" spans="1:37" hidden="1" x14ac:dyDescent="0.2">
      <c r="A271" s="248"/>
      <c r="B271" s="234"/>
      <c r="C271" s="235"/>
      <c r="D271" s="235"/>
      <c r="E271" s="235"/>
      <c r="F271" s="236"/>
      <c r="G271" s="239"/>
      <c r="H271" s="248"/>
      <c r="I271" s="234"/>
      <c r="J271" s="235"/>
      <c r="K271" s="235"/>
      <c r="L271" s="235"/>
      <c r="M271" s="236"/>
      <c r="N271" s="239"/>
      <c r="O271" s="252"/>
      <c r="P271" s="234"/>
      <c r="Q271" s="235"/>
      <c r="R271" s="235"/>
      <c r="S271" s="235"/>
      <c r="T271" s="236"/>
      <c r="U271" s="239"/>
      <c r="V271" s="520"/>
      <c r="W271" s="234" t="s">
        <v>234</v>
      </c>
      <c r="X271" s="235">
        <f t="shared" si="49"/>
        <v>0</v>
      </c>
      <c r="Y271" s="235">
        <f t="shared" si="47"/>
        <v>0</v>
      </c>
      <c r="Z271" s="235">
        <f t="shared" si="52"/>
        <v>0</v>
      </c>
      <c r="AA271" s="247">
        <f t="shared" si="50"/>
        <v>0</v>
      </c>
      <c r="AB271" s="238"/>
      <c r="AC271" s="520"/>
      <c r="AD271" s="234" t="s">
        <v>234</v>
      </c>
      <c r="AE271" s="235">
        <f t="shared" ref="AE271:AE309" si="54">AE270-AG270</f>
        <v>0</v>
      </c>
      <c r="AF271" s="235">
        <f t="shared" si="48"/>
        <v>0</v>
      </c>
      <c r="AG271" s="235">
        <f t="shared" si="53"/>
        <v>0</v>
      </c>
      <c r="AH271" s="247">
        <f t="shared" si="51"/>
        <v>0</v>
      </c>
      <c r="AI271" s="238"/>
      <c r="AK271" s="240"/>
    </row>
    <row r="272" spans="1:37" hidden="1" x14ac:dyDescent="0.2">
      <c r="A272" s="248"/>
      <c r="B272" s="234"/>
      <c r="C272" s="235"/>
      <c r="D272" s="235"/>
      <c r="E272" s="235"/>
      <c r="F272" s="236"/>
      <c r="G272" s="239"/>
      <c r="H272" s="248"/>
      <c r="I272" s="234"/>
      <c r="J272" s="235"/>
      <c r="K272" s="235"/>
      <c r="L272" s="235"/>
      <c r="M272" s="236"/>
      <c r="N272" s="239"/>
      <c r="O272" s="252"/>
      <c r="P272" s="234"/>
      <c r="Q272" s="235"/>
      <c r="R272" s="235"/>
      <c r="S272" s="235"/>
      <c r="T272" s="236"/>
      <c r="U272" s="239"/>
      <c r="V272" s="520"/>
      <c r="W272" s="234" t="s">
        <v>235</v>
      </c>
      <c r="X272" s="235">
        <f t="shared" si="49"/>
        <v>0</v>
      </c>
      <c r="Y272" s="235">
        <f t="shared" si="47"/>
        <v>0</v>
      </c>
      <c r="Z272" s="235">
        <f t="shared" si="52"/>
        <v>0</v>
      </c>
      <c r="AA272" s="247">
        <f t="shared" si="50"/>
        <v>0</v>
      </c>
      <c r="AB272" s="238"/>
      <c r="AC272" s="520"/>
      <c r="AD272" s="234" t="s">
        <v>235</v>
      </c>
      <c r="AE272" s="235">
        <f t="shared" si="54"/>
        <v>0</v>
      </c>
      <c r="AF272" s="235">
        <f t="shared" si="48"/>
        <v>0</v>
      </c>
      <c r="AG272" s="235">
        <f t="shared" si="53"/>
        <v>0</v>
      </c>
      <c r="AH272" s="247">
        <f t="shared" si="51"/>
        <v>0</v>
      </c>
      <c r="AI272" s="238"/>
      <c r="AK272" s="240"/>
    </row>
    <row r="273" spans="1:37" hidden="1" x14ac:dyDescent="0.2">
      <c r="A273" s="248"/>
      <c r="B273" s="234"/>
      <c r="C273" s="235"/>
      <c r="D273" s="235"/>
      <c r="E273" s="235"/>
      <c r="F273" s="236"/>
      <c r="G273" s="239"/>
      <c r="H273" s="248"/>
      <c r="I273" s="234"/>
      <c r="J273" s="235"/>
      <c r="K273" s="235"/>
      <c r="L273" s="235"/>
      <c r="M273" s="236"/>
      <c r="N273" s="239"/>
      <c r="O273" s="252"/>
      <c r="P273" s="234"/>
      <c r="Q273" s="235"/>
      <c r="R273" s="235"/>
      <c r="S273" s="235"/>
      <c r="T273" s="236"/>
      <c r="U273" s="239"/>
      <c r="V273" s="521"/>
      <c r="W273" s="234" t="s">
        <v>236</v>
      </c>
      <c r="X273" s="235">
        <f t="shared" si="49"/>
        <v>0</v>
      </c>
      <c r="Y273" s="235">
        <f t="shared" si="47"/>
        <v>0</v>
      </c>
      <c r="Z273" s="235">
        <f t="shared" si="52"/>
        <v>0</v>
      </c>
      <c r="AA273" s="247">
        <f t="shared" si="50"/>
        <v>0</v>
      </c>
      <c r="AB273" s="239">
        <f>SUM(Y262:Y273)</f>
        <v>0</v>
      </c>
      <c r="AC273" s="521"/>
      <c r="AD273" s="234" t="s">
        <v>236</v>
      </c>
      <c r="AE273" s="235">
        <f t="shared" si="54"/>
        <v>0</v>
      </c>
      <c r="AF273" s="235">
        <f t="shared" si="48"/>
        <v>0</v>
      </c>
      <c r="AG273" s="235">
        <f t="shared" si="53"/>
        <v>0</v>
      </c>
      <c r="AH273" s="247">
        <f t="shared" si="51"/>
        <v>0</v>
      </c>
      <c r="AI273" s="239">
        <f>SUM(AF262:AF273)</f>
        <v>0</v>
      </c>
      <c r="AJ273" s="208">
        <f>V262</f>
        <v>2042</v>
      </c>
      <c r="AK273" s="240">
        <f>G273+N273+U273+AB273+AI273</f>
        <v>0</v>
      </c>
    </row>
    <row r="274" spans="1:37" hidden="1" x14ac:dyDescent="0.2">
      <c r="A274" s="248"/>
      <c r="B274" s="234"/>
      <c r="C274" s="235"/>
      <c r="D274" s="235"/>
      <c r="E274" s="235"/>
      <c r="F274" s="236"/>
      <c r="G274" s="239"/>
      <c r="H274" s="248"/>
      <c r="I274" s="234"/>
      <c r="J274" s="235"/>
      <c r="K274" s="235"/>
      <c r="L274" s="235"/>
      <c r="M274" s="236"/>
      <c r="N274" s="239"/>
      <c r="O274" s="513">
        <f>O190+1</f>
        <v>2037</v>
      </c>
      <c r="P274" s="234" t="s">
        <v>225</v>
      </c>
      <c r="Q274" s="235"/>
      <c r="R274" s="235"/>
      <c r="S274" s="235"/>
      <c r="T274" s="236">
        <f t="shared" ref="T274:T285" si="55">R274+S274</f>
        <v>0</v>
      </c>
      <c r="U274" s="239"/>
      <c r="V274" s="519">
        <v>2043</v>
      </c>
      <c r="W274" s="234" t="s">
        <v>225</v>
      </c>
      <c r="X274" s="235"/>
      <c r="Y274" s="235"/>
      <c r="Z274" s="235"/>
      <c r="AA274" s="247">
        <f t="shared" si="50"/>
        <v>0</v>
      </c>
      <c r="AB274" s="249"/>
      <c r="AC274" s="519">
        <v>2043</v>
      </c>
      <c r="AD274" s="234" t="s">
        <v>225</v>
      </c>
      <c r="AE274" s="235">
        <f t="shared" si="54"/>
        <v>0</v>
      </c>
      <c r="AF274" s="235">
        <f t="shared" si="48"/>
        <v>0</v>
      </c>
      <c r="AG274" s="235">
        <f t="shared" si="53"/>
        <v>0</v>
      </c>
      <c r="AH274" s="247">
        <f t="shared" si="51"/>
        <v>0</v>
      </c>
      <c r="AI274" s="249"/>
      <c r="AK274" s="240"/>
    </row>
    <row r="275" spans="1:37" hidden="1" x14ac:dyDescent="0.2">
      <c r="A275" s="248"/>
      <c r="B275" s="234"/>
      <c r="C275" s="235"/>
      <c r="D275" s="235"/>
      <c r="E275" s="235"/>
      <c r="F275" s="236"/>
      <c r="G275" s="239"/>
      <c r="H275" s="248"/>
      <c r="I275" s="234"/>
      <c r="J275" s="235"/>
      <c r="K275" s="235"/>
      <c r="L275" s="235"/>
      <c r="M275" s="236"/>
      <c r="N275" s="239"/>
      <c r="O275" s="514"/>
      <c r="P275" s="234" t="s">
        <v>226</v>
      </c>
      <c r="Q275" s="235"/>
      <c r="R275" s="235"/>
      <c r="S275" s="235"/>
      <c r="T275" s="236">
        <f t="shared" si="55"/>
        <v>0</v>
      </c>
      <c r="U275" s="239"/>
      <c r="V275" s="520"/>
      <c r="W275" s="234" t="s">
        <v>226</v>
      </c>
      <c r="X275" s="235"/>
      <c r="Y275" s="235"/>
      <c r="Z275" s="235"/>
      <c r="AA275" s="247">
        <f t="shared" si="50"/>
        <v>0</v>
      </c>
      <c r="AB275" s="250"/>
      <c r="AC275" s="520"/>
      <c r="AD275" s="234" t="s">
        <v>226</v>
      </c>
      <c r="AE275" s="235">
        <f t="shared" si="54"/>
        <v>0</v>
      </c>
      <c r="AF275" s="235">
        <f t="shared" si="48"/>
        <v>0</v>
      </c>
      <c r="AG275" s="235">
        <f t="shared" si="53"/>
        <v>0</v>
      </c>
      <c r="AH275" s="247">
        <f t="shared" si="51"/>
        <v>0</v>
      </c>
      <c r="AI275" s="250"/>
      <c r="AK275" s="240"/>
    </row>
    <row r="276" spans="1:37" hidden="1" x14ac:dyDescent="0.2">
      <c r="A276" s="248"/>
      <c r="B276" s="234"/>
      <c r="C276" s="235"/>
      <c r="D276" s="235"/>
      <c r="E276" s="235"/>
      <c r="F276" s="236"/>
      <c r="G276" s="239"/>
      <c r="H276" s="248"/>
      <c r="I276" s="234"/>
      <c r="J276" s="235"/>
      <c r="K276" s="235"/>
      <c r="L276" s="235"/>
      <c r="M276" s="236"/>
      <c r="N276" s="239"/>
      <c r="O276" s="514"/>
      <c r="P276" s="234" t="s">
        <v>227</v>
      </c>
      <c r="Q276" s="235"/>
      <c r="R276" s="235"/>
      <c r="S276" s="235"/>
      <c r="T276" s="236">
        <f t="shared" si="55"/>
        <v>0</v>
      </c>
      <c r="U276" s="239"/>
      <c r="V276" s="520"/>
      <c r="W276" s="234" t="s">
        <v>227</v>
      </c>
      <c r="X276" s="235"/>
      <c r="Y276" s="235"/>
      <c r="Z276" s="235"/>
      <c r="AA276" s="247">
        <f t="shared" si="50"/>
        <v>0</v>
      </c>
      <c r="AB276" s="250"/>
      <c r="AC276" s="520"/>
      <c r="AD276" s="234" t="s">
        <v>227</v>
      </c>
      <c r="AE276" s="235">
        <f t="shared" si="54"/>
        <v>0</v>
      </c>
      <c r="AF276" s="235">
        <f t="shared" si="48"/>
        <v>0</v>
      </c>
      <c r="AG276" s="235">
        <f t="shared" si="53"/>
        <v>0</v>
      </c>
      <c r="AH276" s="247">
        <f t="shared" si="51"/>
        <v>0</v>
      </c>
      <c r="AI276" s="250"/>
      <c r="AK276" s="240"/>
    </row>
    <row r="277" spans="1:37" hidden="1" x14ac:dyDescent="0.2">
      <c r="A277" s="248"/>
      <c r="B277" s="234"/>
      <c r="C277" s="235"/>
      <c r="D277" s="235"/>
      <c r="E277" s="235"/>
      <c r="F277" s="236"/>
      <c r="G277" s="239"/>
      <c r="H277" s="248"/>
      <c r="I277" s="234"/>
      <c r="J277" s="235"/>
      <c r="K277" s="235"/>
      <c r="L277" s="235"/>
      <c r="M277" s="236"/>
      <c r="N277" s="239"/>
      <c r="O277" s="514"/>
      <c r="P277" s="234" t="s">
        <v>228</v>
      </c>
      <c r="Q277" s="235"/>
      <c r="R277" s="235"/>
      <c r="S277" s="235"/>
      <c r="T277" s="236">
        <f t="shared" si="55"/>
        <v>0</v>
      </c>
      <c r="U277" s="239"/>
      <c r="V277" s="520"/>
      <c r="W277" s="234" t="s">
        <v>228</v>
      </c>
      <c r="X277" s="235"/>
      <c r="Y277" s="235"/>
      <c r="Z277" s="235"/>
      <c r="AA277" s="247">
        <f t="shared" si="50"/>
        <v>0</v>
      </c>
      <c r="AB277" s="250"/>
      <c r="AC277" s="520"/>
      <c r="AD277" s="234" t="s">
        <v>228</v>
      </c>
      <c r="AE277" s="235">
        <f t="shared" si="54"/>
        <v>0</v>
      </c>
      <c r="AF277" s="235">
        <f t="shared" si="48"/>
        <v>0</v>
      </c>
      <c r="AG277" s="235">
        <f t="shared" si="53"/>
        <v>0</v>
      </c>
      <c r="AH277" s="247">
        <f t="shared" si="51"/>
        <v>0</v>
      </c>
      <c r="AI277" s="250"/>
      <c r="AK277" s="240"/>
    </row>
    <row r="278" spans="1:37" hidden="1" x14ac:dyDescent="0.2">
      <c r="A278" s="248"/>
      <c r="B278" s="234"/>
      <c r="C278" s="235"/>
      <c r="D278" s="235"/>
      <c r="E278" s="235"/>
      <c r="F278" s="236"/>
      <c r="G278" s="239"/>
      <c r="H278" s="248"/>
      <c r="I278" s="234"/>
      <c r="J278" s="235"/>
      <c r="K278" s="235"/>
      <c r="L278" s="235"/>
      <c r="M278" s="236"/>
      <c r="N278" s="239"/>
      <c r="O278" s="514"/>
      <c r="P278" s="234" t="s">
        <v>229</v>
      </c>
      <c r="Q278" s="235"/>
      <c r="R278" s="235"/>
      <c r="S278" s="235"/>
      <c r="T278" s="236">
        <f t="shared" si="55"/>
        <v>0</v>
      </c>
      <c r="U278" s="239"/>
      <c r="V278" s="520"/>
      <c r="W278" s="234" t="s">
        <v>229</v>
      </c>
      <c r="X278" s="235"/>
      <c r="Y278" s="235"/>
      <c r="Z278" s="235"/>
      <c r="AA278" s="247">
        <f t="shared" si="50"/>
        <v>0</v>
      </c>
      <c r="AB278" s="250"/>
      <c r="AC278" s="520"/>
      <c r="AD278" s="234" t="s">
        <v>229</v>
      </c>
      <c r="AE278" s="235">
        <f t="shared" si="54"/>
        <v>0</v>
      </c>
      <c r="AF278" s="235">
        <f t="shared" si="48"/>
        <v>0</v>
      </c>
      <c r="AG278" s="235">
        <f t="shared" si="53"/>
        <v>0</v>
      </c>
      <c r="AH278" s="247">
        <f t="shared" si="51"/>
        <v>0</v>
      </c>
      <c r="AI278" s="250"/>
      <c r="AK278" s="240"/>
    </row>
    <row r="279" spans="1:37" hidden="1" x14ac:dyDescent="0.2">
      <c r="A279" s="248"/>
      <c r="B279" s="234"/>
      <c r="C279" s="235"/>
      <c r="D279" s="235"/>
      <c r="E279" s="235"/>
      <c r="F279" s="236"/>
      <c r="G279" s="239"/>
      <c r="H279" s="248"/>
      <c r="I279" s="234"/>
      <c r="J279" s="235"/>
      <c r="K279" s="235"/>
      <c r="L279" s="235"/>
      <c r="M279" s="236"/>
      <c r="N279" s="239"/>
      <c r="O279" s="514"/>
      <c r="P279" s="234" t="s">
        <v>230</v>
      </c>
      <c r="Q279" s="235"/>
      <c r="R279" s="235"/>
      <c r="S279" s="235"/>
      <c r="T279" s="236">
        <f t="shared" si="55"/>
        <v>0</v>
      </c>
      <c r="U279" s="239"/>
      <c r="V279" s="520"/>
      <c r="W279" s="234" t="s">
        <v>230</v>
      </c>
      <c r="X279" s="235"/>
      <c r="Y279" s="235"/>
      <c r="Z279" s="235"/>
      <c r="AA279" s="247">
        <f t="shared" si="50"/>
        <v>0</v>
      </c>
      <c r="AB279" s="250"/>
      <c r="AC279" s="520"/>
      <c r="AD279" s="234" t="s">
        <v>230</v>
      </c>
      <c r="AE279" s="235">
        <f t="shared" si="54"/>
        <v>0</v>
      </c>
      <c r="AF279" s="235">
        <f t="shared" si="48"/>
        <v>0</v>
      </c>
      <c r="AG279" s="235">
        <f t="shared" si="53"/>
        <v>0</v>
      </c>
      <c r="AH279" s="247">
        <f t="shared" si="51"/>
        <v>0</v>
      </c>
      <c r="AI279" s="250"/>
      <c r="AK279" s="240"/>
    </row>
    <row r="280" spans="1:37" hidden="1" x14ac:dyDescent="0.2">
      <c r="A280" s="248"/>
      <c r="B280" s="234"/>
      <c r="C280" s="235"/>
      <c r="D280" s="235"/>
      <c r="E280" s="235"/>
      <c r="F280" s="236"/>
      <c r="G280" s="239"/>
      <c r="H280" s="248"/>
      <c r="I280" s="234"/>
      <c r="J280" s="235"/>
      <c r="K280" s="235"/>
      <c r="L280" s="235"/>
      <c r="M280" s="236"/>
      <c r="N280" s="239"/>
      <c r="O280" s="514"/>
      <c r="P280" s="234" t="s">
        <v>231</v>
      </c>
      <c r="Q280" s="235"/>
      <c r="R280" s="235"/>
      <c r="S280" s="235"/>
      <c r="T280" s="236">
        <f t="shared" si="55"/>
        <v>0</v>
      </c>
      <c r="U280" s="239"/>
      <c r="V280" s="520"/>
      <c r="W280" s="234" t="s">
        <v>231</v>
      </c>
      <c r="X280" s="235"/>
      <c r="Y280" s="235"/>
      <c r="Z280" s="235"/>
      <c r="AA280" s="247">
        <f t="shared" si="50"/>
        <v>0</v>
      </c>
      <c r="AB280" s="250"/>
      <c r="AC280" s="520"/>
      <c r="AD280" s="234" t="s">
        <v>231</v>
      </c>
      <c r="AE280" s="235">
        <f t="shared" si="54"/>
        <v>0</v>
      </c>
      <c r="AF280" s="235">
        <f t="shared" si="48"/>
        <v>0</v>
      </c>
      <c r="AG280" s="235">
        <f t="shared" si="53"/>
        <v>0</v>
      </c>
      <c r="AH280" s="247">
        <f t="shared" si="51"/>
        <v>0</v>
      </c>
      <c r="AI280" s="250"/>
      <c r="AK280" s="240"/>
    </row>
    <row r="281" spans="1:37" hidden="1" x14ac:dyDescent="0.2">
      <c r="A281" s="248"/>
      <c r="B281" s="234"/>
      <c r="C281" s="235"/>
      <c r="D281" s="235"/>
      <c r="E281" s="235"/>
      <c r="F281" s="236"/>
      <c r="G281" s="239"/>
      <c r="H281" s="248"/>
      <c r="I281" s="234"/>
      <c r="J281" s="235"/>
      <c r="K281" s="235"/>
      <c r="L281" s="235"/>
      <c r="M281" s="236"/>
      <c r="N281" s="239"/>
      <c r="O281" s="514"/>
      <c r="P281" s="234" t="s">
        <v>232</v>
      </c>
      <c r="Q281" s="235"/>
      <c r="R281" s="235"/>
      <c r="S281" s="235"/>
      <c r="T281" s="236">
        <f t="shared" si="55"/>
        <v>0</v>
      </c>
      <c r="U281" s="239"/>
      <c r="V281" s="520"/>
      <c r="W281" s="234" t="s">
        <v>232</v>
      </c>
      <c r="X281" s="235"/>
      <c r="Y281" s="235"/>
      <c r="Z281" s="235"/>
      <c r="AA281" s="247">
        <f t="shared" si="50"/>
        <v>0</v>
      </c>
      <c r="AB281" s="250"/>
      <c r="AC281" s="520"/>
      <c r="AD281" s="234" t="s">
        <v>232</v>
      </c>
      <c r="AE281" s="235">
        <f t="shared" si="54"/>
        <v>0</v>
      </c>
      <c r="AF281" s="235">
        <f t="shared" si="48"/>
        <v>0</v>
      </c>
      <c r="AG281" s="235">
        <f t="shared" si="53"/>
        <v>0</v>
      </c>
      <c r="AH281" s="247">
        <f t="shared" si="51"/>
        <v>0</v>
      </c>
      <c r="AI281" s="250"/>
      <c r="AK281" s="240"/>
    </row>
    <row r="282" spans="1:37" hidden="1" x14ac:dyDescent="0.2">
      <c r="A282" s="248"/>
      <c r="B282" s="234"/>
      <c r="C282" s="235"/>
      <c r="D282" s="235"/>
      <c r="E282" s="235"/>
      <c r="F282" s="236"/>
      <c r="G282" s="239"/>
      <c r="H282" s="248"/>
      <c r="I282" s="234"/>
      <c r="J282" s="235"/>
      <c r="K282" s="235"/>
      <c r="L282" s="235"/>
      <c r="M282" s="236"/>
      <c r="N282" s="239"/>
      <c r="O282" s="514"/>
      <c r="P282" s="234" t="s">
        <v>233</v>
      </c>
      <c r="Q282" s="235"/>
      <c r="R282" s="235"/>
      <c r="S282" s="235"/>
      <c r="T282" s="236">
        <f t="shared" si="55"/>
        <v>0</v>
      </c>
      <c r="U282" s="239"/>
      <c r="V282" s="520"/>
      <c r="W282" s="234" t="s">
        <v>233</v>
      </c>
      <c r="X282" s="235"/>
      <c r="Y282" s="235"/>
      <c r="Z282" s="235"/>
      <c r="AA282" s="247">
        <f t="shared" si="50"/>
        <v>0</v>
      </c>
      <c r="AB282" s="250"/>
      <c r="AC282" s="520"/>
      <c r="AD282" s="234" t="s">
        <v>233</v>
      </c>
      <c r="AE282" s="235">
        <f t="shared" si="54"/>
        <v>0</v>
      </c>
      <c r="AF282" s="235">
        <f t="shared" si="48"/>
        <v>0</v>
      </c>
      <c r="AG282" s="235">
        <f t="shared" si="53"/>
        <v>0</v>
      </c>
      <c r="AH282" s="247">
        <f t="shared" si="51"/>
        <v>0</v>
      </c>
      <c r="AI282" s="250"/>
      <c r="AK282" s="240"/>
    </row>
    <row r="283" spans="1:37" hidden="1" x14ac:dyDescent="0.2">
      <c r="A283" s="248"/>
      <c r="B283" s="234"/>
      <c r="C283" s="235"/>
      <c r="D283" s="235"/>
      <c r="E283" s="235"/>
      <c r="F283" s="236"/>
      <c r="G283" s="239"/>
      <c r="H283" s="248"/>
      <c r="I283" s="234"/>
      <c r="J283" s="235"/>
      <c r="K283" s="235"/>
      <c r="L283" s="235"/>
      <c r="M283" s="236"/>
      <c r="N283" s="239"/>
      <c r="O283" s="514"/>
      <c r="P283" s="234" t="s">
        <v>234</v>
      </c>
      <c r="Q283" s="235"/>
      <c r="R283" s="235"/>
      <c r="S283" s="235"/>
      <c r="T283" s="236">
        <f t="shared" si="55"/>
        <v>0</v>
      </c>
      <c r="U283" s="239"/>
      <c r="V283" s="520"/>
      <c r="W283" s="234" t="s">
        <v>234</v>
      </c>
      <c r="X283" s="235"/>
      <c r="Y283" s="235"/>
      <c r="Z283" s="235"/>
      <c r="AA283" s="247">
        <f t="shared" si="50"/>
        <v>0</v>
      </c>
      <c r="AB283" s="250"/>
      <c r="AC283" s="520"/>
      <c r="AD283" s="234" t="s">
        <v>234</v>
      </c>
      <c r="AE283" s="235">
        <f t="shared" si="54"/>
        <v>0</v>
      </c>
      <c r="AF283" s="235">
        <f t="shared" ref="AF283:AF309" si="56">AE283*$Y$7/12</f>
        <v>0</v>
      </c>
      <c r="AG283" s="235">
        <f t="shared" si="53"/>
        <v>0</v>
      </c>
      <c r="AH283" s="247">
        <f t="shared" si="51"/>
        <v>0</v>
      </c>
      <c r="AI283" s="250"/>
      <c r="AK283" s="240"/>
    </row>
    <row r="284" spans="1:37" hidden="1" x14ac:dyDescent="0.2">
      <c r="A284" s="248"/>
      <c r="B284" s="234"/>
      <c r="C284" s="235"/>
      <c r="D284" s="235"/>
      <c r="E284" s="235"/>
      <c r="F284" s="236"/>
      <c r="G284" s="239"/>
      <c r="H284" s="248"/>
      <c r="I284" s="234"/>
      <c r="J284" s="235"/>
      <c r="K284" s="235"/>
      <c r="L284" s="235"/>
      <c r="M284" s="236"/>
      <c r="N284" s="239"/>
      <c r="O284" s="514"/>
      <c r="P284" s="234" t="s">
        <v>235</v>
      </c>
      <c r="Q284" s="235"/>
      <c r="R284" s="235"/>
      <c r="S284" s="235"/>
      <c r="T284" s="236">
        <f t="shared" si="55"/>
        <v>0</v>
      </c>
      <c r="U284" s="239"/>
      <c r="V284" s="520"/>
      <c r="W284" s="234" t="s">
        <v>235</v>
      </c>
      <c r="X284" s="235"/>
      <c r="Y284" s="235"/>
      <c r="Z284" s="235"/>
      <c r="AA284" s="247">
        <f t="shared" si="50"/>
        <v>0</v>
      </c>
      <c r="AB284" s="250"/>
      <c r="AC284" s="520"/>
      <c r="AD284" s="234" t="s">
        <v>235</v>
      </c>
      <c r="AE284" s="235">
        <f t="shared" si="54"/>
        <v>0</v>
      </c>
      <c r="AF284" s="235">
        <f t="shared" si="56"/>
        <v>0</v>
      </c>
      <c r="AG284" s="235">
        <f t="shared" si="53"/>
        <v>0</v>
      </c>
      <c r="AH284" s="247">
        <f t="shared" si="51"/>
        <v>0</v>
      </c>
      <c r="AI284" s="250"/>
      <c r="AK284" s="240"/>
    </row>
    <row r="285" spans="1:37" hidden="1" x14ac:dyDescent="0.2">
      <c r="A285" s="248"/>
      <c r="B285" s="234"/>
      <c r="C285" s="235"/>
      <c r="D285" s="235"/>
      <c r="E285" s="235"/>
      <c r="F285" s="236"/>
      <c r="G285" s="239"/>
      <c r="H285" s="248"/>
      <c r="I285" s="234"/>
      <c r="J285" s="235"/>
      <c r="K285" s="235"/>
      <c r="L285" s="235"/>
      <c r="M285" s="236"/>
      <c r="N285" s="239"/>
      <c r="O285" s="515"/>
      <c r="P285" s="234" t="s">
        <v>236</v>
      </c>
      <c r="Q285" s="235"/>
      <c r="R285" s="235"/>
      <c r="S285" s="235"/>
      <c r="T285" s="236">
        <f t="shared" si="55"/>
        <v>0</v>
      </c>
      <c r="U285" s="239"/>
      <c r="V285" s="521"/>
      <c r="W285" s="234" t="s">
        <v>236</v>
      </c>
      <c r="X285" s="235"/>
      <c r="Y285" s="235"/>
      <c r="Z285" s="235"/>
      <c r="AA285" s="247">
        <f t="shared" si="50"/>
        <v>0</v>
      </c>
      <c r="AB285" s="251">
        <f>SUM(Y274:Y285)</f>
        <v>0</v>
      </c>
      <c r="AC285" s="521"/>
      <c r="AD285" s="234" t="s">
        <v>236</v>
      </c>
      <c r="AE285" s="235">
        <f t="shared" si="54"/>
        <v>0</v>
      </c>
      <c r="AF285" s="235">
        <f t="shared" si="56"/>
        <v>0</v>
      </c>
      <c r="AG285" s="235">
        <f t="shared" si="53"/>
        <v>0</v>
      </c>
      <c r="AH285" s="247">
        <f t="shared" si="51"/>
        <v>0</v>
      </c>
      <c r="AI285" s="251">
        <f>SUM(AF274:AF285)</f>
        <v>0</v>
      </c>
      <c r="AJ285" s="208">
        <f>V274</f>
        <v>2043</v>
      </c>
      <c r="AK285" s="240">
        <f>G285+N285+U285+AB285+AI285</f>
        <v>0</v>
      </c>
    </row>
    <row r="286" spans="1:37" hidden="1" x14ac:dyDescent="0.2">
      <c r="A286" s="248"/>
      <c r="B286" s="234"/>
      <c r="C286" s="235"/>
      <c r="D286" s="235"/>
      <c r="E286" s="235"/>
      <c r="F286" s="236"/>
      <c r="G286" s="239"/>
      <c r="H286" s="248"/>
      <c r="I286" s="234"/>
      <c r="J286" s="235"/>
      <c r="K286" s="235"/>
      <c r="L286" s="235"/>
      <c r="M286" s="236"/>
      <c r="N286" s="239"/>
      <c r="O286" s="253"/>
      <c r="P286" s="234"/>
      <c r="Q286" s="235"/>
      <c r="R286" s="235"/>
      <c r="S286" s="235"/>
      <c r="T286" s="236"/>
      <c r="U286" s="239"/>
      <c r="V286" s="254"/>
      <c r="W286" s="234"/>
      <c r="X286" s="235"/>
      <c r="Y286" s="235"/>
      <c r="Z286" s="235"/>
      <c r="AA286" s="247"/>
      <c r="AB286" s="251"/>
      <c r="AC286" s="519">
        <v>2044</v>
      </c>
      <c r="AD286" s="234" t="s">
        <v>225</v>
      </c>
      <c r="AE286" s="235">
        <f t="shared" si="54"/>
        <v>0</v>
      </c>
      <c r="AF286" s="235">
        <f t="shared" si="56"/>
        <v>0</v>
      </c>
      <c r="AG286" s="235">
        <f t="shared" si="53"/>
        <v>0</v>
      </c>
      <c r="AH286" s="247">
        <f t="shared" si="51"/>
        <v>0</v>
      </c>
      <c r="AI286" s="251"/>
      <c r="AK286" s="240"/>
    </row>
    <row r="287" spans="1:37" hidden="1" x14ac:dyDescent="0.2">
      <c r="A287" s="248"/>
      <c r="B287" s="234"/>
      <c r="C287" s="235"/>
      <c r="D287" s="235"/>
      <c r="E287" s="235"/>
      <c r="F287" s="236"/>
      <c r="G287" s="239"/>
      <c r="H287" s="248"/>
      <c r="I287" s="234"/>
      <c r="J287" s="235"/>
      <c r="K287" s="235"/>
      <c r="L287" s="235"/>
      <c r="M287" s="236"/>
      <c r="N287" s="239"/>
      <c r="O287" s="253"/>
      <c r="P287" s="234"/>
      <c r="Q287" s="235"/>
      <c r="R287" s="235"/>
      <c r="S287" s="235"/>
      <c r="T287" s="236"/>
      <c r="U287" s="239"/>
      <c r="V287" s="254"/>
      <c r="W287" s="234"/>
      <c r="X287" s="235"/>
      <c r="Y287" s="235"/>
      <c r="Z287" s="235"/>
      <c r="AA287" s="247"/>
      <c r="AB287" s="251"/>
      <c r="AC287" s="520"/>
      <c r="AD287" s="234" t="s">
        <v>226</v>
      </c>
      <c r="AE287" s="235">
        <f t="shared" si="54"/>
        <v>0</v>
      </c>
      <c r="AF287" s="235">
        <f t="shared" si="56"/>
        <v>0</v>
      </c>
      <c r="AG287" s="235">
        <f t="shared" si="53"/>
        <v>0</v>
      </c>
      <c r="AH287" s="247">
        <f t="shared" si="51"/>
        <v>0</v>
      </c>
      <c r="AI287" s="251"/>
      <c r="AK287" s="240"/>
    </row>
    <row r="288" spans="1:37" hidden="1" x14ac:dyDescent="0.2">
      <c r="A288" s="248"/>
      <c r="B288" s="234"/>
      <c r="C288" s="235"/>
      <c r="D288" s="235"/>
      <c r="E288" s="235"/>
      <c r="F288" s="236"/>
      <c r="G288" s="239"/>
      <c r="H288" s="248"/>
      <c r="I288" s="234"/>
      <c r="J288" s="235"/>
      <c r="K288" s="235"/>
      <c r="L288" s="235"/>
      <c r="M288" s="236"/>
      <c r="N288" s="239"/>
      <c r="O288" s="253"/>
      <c r="P288" s="234"/>
      <c r="Q288" s="235"/>
      <c r="R288" s="235"/>
      <c r="S288" s="235"/>
      <c r="T288" s="236"/>
      <c r="U288" s="239"/>
      <c r="V288" s="254"/>
      <c r="W288" s="234"/>
      <c r="X288" s="235"/>
      <c r="Y288" s="235"/>
      <c r="Z288" s="235"/>
      <c r="AA288" s="247"/>
      <c r="AB288" s="251"/>
      <c r="AC288" s="520"/>
      <c r="AD288" s="234" t="s">
        <v>227</v>
      </c>
      <c r="AE288" s="235">
        <f t="shared" si="54"/>
        <v>0</v>
      </c>
      <c r="AF288" s="235">
        <f t="shared" si="56"/>
        <v>0</v>
      </c>
      <c r="AG288" s="235">
        <f t="shared" si="53"/>
        <v>0</v>
      </c>
      <c r="AH288" s="247">
        <f t="shared" si="51"/>
        <v>0</v>
      </c>
      <c r="AI288" s="251"/>
      <c r="AK288" s="240"/>
    </row>
    <row r="289" spans="1:37" hidden="1" x14ac:dyDescent="0.2">
      <c r="A289" s="248"/>
      <c r="B289" s="234"/>
      <c r="C289" s="235"/>
      <c r="D289" s="235"/>
      <c r="E289" s="235"/>
      <c r="F289" s="236"/>
      <c r="G289" s="239"/>
      <c r="H289" s="248"/>
      <c r="I289" s="234"/>
      <c r="J289" s="235"/>
      <c r="K289" s="235"/>
      <c r="L289" s="235"/>
      <c r="M289" s="236"/>
      <c r="N289" s="239"/>
      <c r="O289" s="253"/>
      <c r="P289" s="234"/>
      <c r="Q289" s="235"/>
      <c r="R289" s="235"/>
      <c r="S289" s="235"/>
      <c r="T289" s="236"/>
      <c r="U289" s="239"/>
      <c r="V289" s="254"/>
      <c r="W289" s="234"/>
      <c r="X289" s="235"/>
      <c r="Y289" s="235"/>
      <c r="Z289" s="235"/>
      <c r="AA289" s="247"/>
      <c r="AB289" s="251"/>
      <c r="AC289" s="520"/>
      <c r="AD289" s="234" t="s">
        <v>228</v>
      </c>
      <c r="AE289" s="235">
        <f t="shared" si="54"/>
        <v>0</v>
      </c>
      <c r="AF289" s="235">
        <f t="shared" si="56"/>
        <v>0</v>
      </c>
      <c r="AG289" s="235">
        <f t="shared" si="53"/>
        <v>0</v>
      </c>
      <c r="AH289" s="247">
        <f t="shared" si="51"/>
        <v>0</v>
      </c>
      <c r="AI289" s="251"/>
      <c r="AK289" s="240"/>
    </row>
    <row r="290" spans="1:37" hidden="1" x14ac:dyDescent="0.2">
      <c r="A290" s="248"/>
      <c r="B290" s="234"/>
      <c r="C290" s="235"/>
      <c r="D290" s="235"/>
      <c r="E290" s="235"/>
      <c r="F290" s="236"/>
      <c r="G290" s="239"/>
      <c r="H290" s="248"/>
      <c r="I290" s="234"/>
      <c r="J290" s="235"/>
      <c r="K290" s="235"/>
      <c r="L290" s="235"/>
      <c r="M290" s="236"/>
      <c r="N290" s="239"/>
      <c r="O290" s="253"/>
      <c r="P290" s="234"/>
      <c r="Q290" s="235"/>
      <c r="R290" s="235"/>
      <c r="S290" s="235"/>
      <c r="T290" s="236"/>
      <c r="U290" s="239"/>
      <c r="V290" s="254"/>
      <c r="W290" s="234"/>
      <c r="X290" s="235"/>
      <c r="Y290" s="235"/>
      <c r="Z290" s="235"/>
      <c r="AA290" s="247"/>
      <c r="AB290" s="251"/>
      <c r="AC290" s="520"/>
      <c r="AD290" s="234" t="s">
        <v>229</v>
      </c>
      <c r="AE290" s="235">
        <f t="shared" si="54"/>
        <v>0</v>
      </c>
      <c r="AF290" s="235">
        <f t="shared" si="56"/>
        <v>0</v>
      </c>
      <c r="AG290" s="235">
        <f t="shared" si="53"/>
        <v>0</v>
      </c>
      <c r="AH290" s="247">
        <f t="shared" si="51"/>
        <v>0</v>
      </c>
      <c r="AI290" s="251"/>
      <c r="AK290" s="240"/>
    </row>
    <row r="291" spans="1:37" hidden="1" x14ac:dyDescent="0.2">
      <c r="A291" s="248"/>
      <c r="B291" s="234"/>
      <c r="C291" s="235"/>
      <c r="D291" s="235"/>
      <c r="E291" s="235"/>
      <c r="F291" s="236"/>
      <c r="G291" s="239"/>
      <c r="H291" s="248"/>
      <c r="I291" s="234"/>
      <c r="J291" s="235"/>
      <c r="K291" s="235"/>
      <c r="L291" s="235"/>
      <c r="M291" s="236"/>
      <c r="N291" s="239"/>
      <c r="O291" s="253"/>
      <c r="P291" s="234"/>
      <c r="Q291" s="235"/>
      <c r="R291" s="235"/>
      <c r="S291" s="235"/>
      <c r="T291" s="236"/>
      <c r="U291" s="239"/>
      <c r="V291" s="254"/>
      <c r="W291" s="234"/>
      <c r="X291" s="235"/>
      <c r="Y291" s="235"/>
      <c r="Z291" s="235"/>
      <c r="AA291" s="247"/>
      <c r="AB291" s="251"/>
      <c r="AC291" s="520"/>
      <c r="AD291" s="234" t="s">
        <v>230</v>
      </c>
      <c r="AE291" s="235">
        <f t="shared" si="54"/>
        <v>0</v>
      </c>
      <c r="AF291" s="235">
        <f t="shared" si="56"/>
        <v>0</v>
      </c>
      <c r="AG291" s="235">
        <f t="shared" si="53"/>
        <v>0</v>
      </c>
      <c r="AH291" s="247">
        <f t="shared" si="51"/>
        <v>0</v>
      </c>
      <c r="AI291" s="251"/>
      <c r="AK291" s="240"/>
    </row>
    <row r="292" spans="1:37" hidden="1" x14ac:dyDescent="0.2">
      <c r="A292" s="248"/>
      <c r="B292" s="234"/>
      <c r="C292" s="235"/>
      <c r="D292" s="235"/>
      <c r="E292" s="235"/>
      <c r="F292" s="236"/>
      <c r="G292" s="239"/>
      <c r="H292" s="248"/>
      <c r="I292" s="234"/>
      <c r="J292" s="235"/>
      <c r="K292" s="235"/>
      <c r="L292" s="235"/>
      <c r="M292" s="236"/>
      <c r="N292" s="239"/>
      <c r="O292" s="253"/>
      <c r="P292" s="234"/>
      <c r="Q292" s="235"/>
      <c r="R292" s="235"/>
      <c r="S292" s="235"/>
      <c r="T292" s="236"/>
      <c r="U292" s="239"/>
      <c r="V292" s="254"/>
      <c r="W292" s="234"/>
      <c r="X292" s="235"/>
      <c r="Y292" s="235"/>
      <c r="Z292" s="235"/>
      <c r="AA292" s="247"/>
      <c r="AB292" s="251"/>
      <c r="AC292" s="520"/>
      <c r="AD292" s="234" t="s">
        <v>231</v>
      </c>
      <c r="AE292" s="235">
        <f t="shared" si="54"/>
        <v>0</v>
      </c>
      <c r="AF292" s="235">
        <f t="shared" si="56"/>
        <v>0</v>
      </c>
      <c r="AG292" s="235">
        <f t="shared" si="53"/>
        <v>0</v>
      </c>
      <c r="AH292" s="247">
        <f t="shared" ref="AH292:AH325" si="57">AF292+AG292</f>
        <v>0</v>
      </c>
      <c r="AI292" s="251"/>
      <c r="AK292" s="240"/>
    </row>
    <row r="293" spans="1:37" hidden="1" x14ac:dyDescent="0.2">
      <c r="A293" s="248"/>
      <c r="B293" s="234"/>
      <c r="C293" s="235"/>
      <c r="D293" s="235"/>
      <c r="E293" s="235"/>
      <c r="F293" s="236"/>
      <c r="G293" s="239"/>
      <c r="H293" s="248"/>
      <c r="I293" s="234"/>
      <c r="J293" s="235"/>
      <c r="K293" s="235"/>
      <c r="L293" s="235"/>
      <c r="M293" s="236"/>
      <c r="N293" s="239"/>
      <c r="O293" s="253"/>
      <c r="P293" s="234"/>
      <c r="Q293" s="235"/>
      <c r="R293" s="235"/>
      <c r="S293" s="235"/>
      <c r="T293" s="236"/>
      <c r="U293" s="239"/>
      <c r="V293" s="254"/>
      <c r="W293" s="234"/>
      <c r="X293" s="235"/>
      <c r="Y293" s="235"/>
      <c r="Z293" s="235"/>
      <c r="AA293" s="247"/>
      <c r="AB293" s="251"/>
      <c r="AC293" s="520"/>
      <c r="AD293" s="234" t="s">
        <v>232</v>
      </c>
      <c r="AE293" s="235">
        <f t="shared" si="54"/>
        <v>0</v>
      </c>
      <c r="AF293" s="235">
        <f t="shared" si="56"/>
        <v>0</v>
      </c>
      <c r="AG293" s="235">
        <f t="shared" si="53"/>
        <v>0</v>
      </c>
      <c r="AH293" s="247">
        <f t="shared" si="57"/>
        <v>0</v>
      </c>
      <c r="AI293" s="251"/>
      <c r="AK293" s="240"/>
    </row>
    <row r="294" spans="1:37" hidden="1" x14ac:dyDescent="0.2">
      <c r="A294" s="248"/>
      <c r="B294" s="234"/>
      <c r="C294" s="235"/>
      <c r="D294" s="235"/>
      <c r="E294" s="235"/>
      <c r="F294" s="236"/>
      <c r="G294" s="239"/>
      <c r="H294" s="248"/>
      <c r="I294" s="234"/>
      <c r="J294" s="235"/>
      <c r="K294" s="235"/>
      <c r="L294" s="235"/>
      <c r="M294" s="236"/>
      <c r="N294" s="239"/>
      <c r="O294" s="253"/>
      <c r="P294" s="234"/>
      <c r="Q294" s="235"/>
      <c r="R294" s="235"/>
      <c r="S294" s="235"/>
      <c r="T294" s="236"/>
      <c r="U294" s="239"/>
      <c r="V294" s="254"/>
      <c r="W294" s="234"/>
      <c r="X294" s="235"/>
      <c r="Y294" s="235"/>
      <c r="Z294" s="235"/>
      <c r="AA294" s="247"/>
      <c r="AB294" s="251"/>
      <c r="AC294" s="520"/>
      <c r="AD294" s="234" t="s">
        <v>233</v>
      </c>
      <c r="AE294" s="235">
        <f t="shared" si="54"/>
        <v>0</v>
      </c>
      <c r="AF294" s="235">
        <f t="shared" si="56"/>
        <v>0</v>
      </c>
      <c r="AG294" s="235">
        <f t="shared" si="53"/>
        <v>0</v>
      </c>
      <c r="AH294" s="247">
        <f t="shared" si="57"/>
        <v>0</v>
      </c>
      <c r="AI294" s="251"/>
      <c r="AK294" s="240"/>
    </row>
    <row r="295" spans="1:37" hidden="1" x14ac:dyDescent="0.2">
      <c r="A295" s="248"/>
      <c r="B295" s="234"/>
      <c r="C295" s="235"/>
      <c r="D295" s="235"/>
      <c r="E295" s="235"/>
      <c r="F295" s="236"/>
      <c r="G295" s="239"/>
      <c r="H295" s="248"/>
      <c r="I295" s="234"/>
      <c r="J295" s="235"/>
      <c r="K295" s="235"/>
      <c r="L295" s="235"/>
      <c r="M295" s="236"/>
      <c r="N295" s="239"/>
      <c r="O295" s="253"/>
      <c r="P295" s="234"/>
      <c r="Q295" s="235"/>
      <c r="R295" s="235"/>
      <c r="S295" s="235"/>
      <c r="T295" s="236"/>
      <c r="U295" s="239"/>
      <c r="V295" s="254"/>
      <c r="W295" s="234"/>
      <c r="X295" s="235"/>
      <c r="Y295" s="235"/>
      <c r="Z295" s="235"/>
      <c r="AA295" s="247"/>
      <c r="AB295" s="251"/>
      <c r="AC295" s="520"/>
      <c r="AD295" s="234" t="s">
        <v>234</v>
      </c>
      <c r="AE295" s="235">
        <f t="shared" si="54"/>
        <v>0</v>
      </c>
      <c r="AF295" s="235">
        <f t="shared" si="56"/>
        <v>0</v>
      </c>
      <c r="AG295" s="235">
        <f t="shared" si="53"/>
        <v>0</v>
      </c>
      <c r="AH295" s="247">
        <f t="shared" si="57"/>
        <v>0</v>
      </c>
      <c r="AI295" s="251"/>
      <c r="AK295" s="240"/>
    </row>
    <row r="296" spans="1:37" hidden="1" x14ac:dyDescent="0.2">
      <c r="A296" s="248"/>
      <c r="B296" s="234"/>
      <c r="C296" s="235"/>
      <c r="D296" s="235"/>
      <c r="E296" s="235"/>
      <c r="F296" s="236"/>
      <c r="G296" s="239"/>
      <c r="H296" s="248"/>
      <c r="I296" s="234"/>
      <c r="J296" s="235"/>
      <c r="K296" s="235"/>
      <c r="L296" s="235"/>
      <c r="M296" s="236"/>
      <c r="N296" s="239"/>
      <c r="O296" s="253"/>
      <c r="P296" s="234"/>
      <c r="Q296" s="235"/>
      <c r="R296" s="235"/>
      <c r="S296" s="235"/>
      <c r="T296" s="236"/>
      <c r="U296" s="239"/>
      <c r="V296" s="254"/>
      <c r="W296" s="234"/>
      <c r="X296" s="235"/>
      <c r="Y296" s="235"/>
      <c r="Z296" s="235"/>
      <c r="AA296" s="247"/>
      <c r="AB296" s="251"/>
      <c r="AC296" s="520"/>
      <c r="AD296" s="234" t="s">
        <v>235</v>
      </c>
      <c r="AE296" s="235">
        <f t="shared" si="54"/>
        <v>0</v>
      </c>
      <c r="AF296" s="235">
        <f t="shared" si="56"/>
        <v>0</v>
      </c>
      <c r="AG296" s="235">
        <f t="shared" si="53"/>
        <v>0</v>
      </c>
      <c r="AH296" s="247">
        <f t="shared" si="57"/>
        <v>0</v>
      </c>
      <c r="AI296" s="251"/>
      <c r="AK296" s="240"/>
    </row>
    <row r="297" spans="1:37" hidden="1" x14ac:dyDescent="0.2">
      <c r="A297" s="248"/>
      <c r="B297" s="234"/>
      <c r="C297" s="235"/>
      <c r="D297" s="235"/>
      <c r="E297" s="235"/>
      <c r="F297" s="236"/>
      <c r="G297" s="239"/>
      <c r="H297" s="248"/>
      <c r="I297" s="234"/>
      <c r="J297" s="235"/>
      <c r="K297" s="235"/>
      <c r="L297" s="235"/>
      <c r="M297" s="236"/>
      <c r="N297" s="239"/>
      <c r="O297" s="253"/>
      <c r="P297" s="234"/>
      <c r="Q297" s="235"/>
      <c r="R297" s="235"/>
      <c r="S297" s="235"/>
      <c r="T297" s="236"/>
      <c r="U297" s="239"/>
      <c r="V297" s="254"/>
      <c r="W297" s="234"/>
      <c r="X297" s="235"/>
      <c r="Y297" s="235"/>
      <c r="Z297" s="235"/>
      <c r="AA297" s="247"/>
      <c r="AB297" s="251"/>
      <c r="AC297" s="521"/>
      <c r="AD297" s="234" t="s">
        <v>236</v>
      </c>
      <c r="AE297" s="235">
        <f t="shared" si="54"/>
        <v>0</v>
      </c>
      <c r="AF297" s="235">
        <f t="shared" si="56"/>
        <v>0</v>
      </c>
      <c r="AG297" s="235">
        <f t="shared" si="53"/>
        <v>0</v>
      </c>
      <c r="AH297" s="247">
        <f t="shared" si="57"/>
        <v>0</v>
      </c>
      <c r="AI297" s="251">
        <f>SUM(AF286:AF297)</f>
        <v>0</v>
      </c>
      <c r="AJ297" s="208">
        <f>AC286</f>
        <v>2044</v>
      </c>
      <c r="AK297" s="240">
        <f>G297+N297+U297+AB297+AI297</f>
        <v>0</v>
      </c>
    </row>
    <row r="298" spans="1:37" hidden="1" x14ac:dyDescent="0.2">
      <c r="A298" s="248"/>
      <c r="B298" s="234"/>
      <c r="C298" s="235"/>
      <c r="D298" s="235"/>
      <c r="E298" s="235"/>
      <c r="F298" s="236"/>
      <c r="G298" s="239"/>
      <c r="H298" s="248"/>
      <c r="I298" s="234"/>
      <c r="J298" s="235"/>
      <c r="K298" s="235"/>
      <c r="L298" s="235"/>
      <c r="M298" s="236"/>
      <c r="N298" s="239"/>
      <c r="O298" s="253"/>
      <c r="P298" s="234"/>
      <c r="Q298" s="235"/>
      <c r="R298" s="235"/>
      <c r="S298" s="235"/>
      <c r="T298" s="236"/>
      <c r="U298" s="239"/>
      <c r="V298" s="254"/>
      <c r="W298" s="234"/>
      <c r="X298" s="235"/>
      <c r="Y298" s="235"/>
      <c r="Z298" s="235"/>
      <c r="AA298" s="247"/>
      <c r="AB298" s="251"/>
      <c r="AC298" s="519">
        <v>2045</v>
      </c>
      <c r="AD298" s="234" t="s">
        <v>225</v>
      </c>
      <c r="AE298" s="235">
        <f t="shared" si="54"/>
        <v>0</v>
      </c>
      <c r="AF298" s="235">
        <f t="shared" si="56"/>
        <v>0</v>
      </c>
      <c r="AG298" s="235">
        <f t="shared" si="53"/>
        <v>0</v>
      </c>
      <c r="AH298" s="247">
        <f t="shared" si="57"/>
        <v>0</v>
      </c>
      <c r="AI298" s="251"/>
      <c r="AK298" s="240"/>
    </row>
    <row r="299" spans="1:37" hidden="1" x14ac:dyDescent="0.2">
      <c r="A299" s="248"/>
      <c r="B299" s="234"/>
      <c r="C299" s="235"/>
      <c r="D299" s="235"/>
      <c r="E299" s="235"/>
      <c r="F299" s="236"/>
      <c r="G299" s="239"/>
      <c r="H299" s="248"/>
      <c r="I299" s="234"/>
      <c r="J299" s="235"/>
      <c r="K299" s="235"/>
      <c r="L299" s="235"/>
      <c r="M299" s="236"/>
      <c r="N299" s="239"/>
      <c r="O299" s="253"/>
      <c r="P299" s="234"/>
      <c r="Q299" s="235"/>
      <c r="R299" s="235"/>
      <c r="S299" s="235"/>
      <c r="T299" s="236"/>
      <c r="U299" s="239"/>
      <c r="V299" s="254"/>
      <c r="W299" s="234"/>
      <c r="X299" s="235"/>
      <c r="Y299" s="235"/>
      <c r="Z299" s="235"/>
      <c r="AA299" s="247"/>
      <c r="AB299" s="251"/>
      <c r="AC299" s="520"/>
      <c r="AD299" s="234" t="s">
        <v>226</v>
      </c>
      <c r="AE299" s="235">
        <f t="shared" si="54"/>
        <v>0</v>
      </c>
      <c r="AF299" s="235">
        <f t="shared" si="56"/>
        <v>0</v>
      </c>
      <c r="AG299" s="235">
        <f t="shared" si="53"/>
        <v>0</v>
      </c>
      <c r="AH299" s="247">
        <f t="shared" si="57"/>
        <v>0</v>
      </c>
      <c r="AI299" s="251"/>
      <c r="AK299" s="240"/>
    </row>
    <row r="300" spans="1:37" hidden="1" x14ac:dyDescent="0.2">
      <c r="A300" s="248"/>
      <c r="B300" s="234"/>
      <c r="C300" s="235"/>
      <c r="D300" s="235"/>
      <c r="E300" s="235"/>
      <c r="F300" s="236"/>
      <c r="G300" s="239"/>
      <c r="H300" s="248"/>
      <c r="I300" s="234"/>
      <c r="J300" s="235"/>
      <c r="K300" s="235"/>
      <c r="L300" s="235"/>
      <c r="M300" s="236"/>
      <c r="N300" s="239"/>
      <c r="O300" s="253"/>
      <c r="P300" s="234"/>
      <c r="Q300" s="235"/>
      <c r="R300" s="235"/>
      <c r="S300" s="235"/>
      <c r="T300" s="236"/>
      <c r="U300" s="239"/>
      <c r="V300" s="254"/>
      <c r="W300" s="234"/>
      <c r="X300" s="235"/>
      <c r="Y300" s="235"/>
      <c r="Z300" s="235"/>
      <c r="AA300" s="247"/>
      <c r="AB300" s="251"/>
      <c r="AC300" s="520"/>
      <c r="AD300" s="234" t="s">
        <v>227</v>
      </c>
      <c r="AE300" s="235">
        <f t="shared" si="54"/>
        <v>0</v>
      </c>
      <c r="AF300" s="235">
        <f t="shared" si="56"/>
        <v>0</v>
      </c>
      <c r="AG300" s="235">
        <f t="shared" si="53"/>
        <v>0</v>
      </c>
      <c r="AH300" s="247">
        <f t="shared" si="57"/>
        <v>0</v>
      </c>
      <c r="AI300" s="251"/>
      <c r="AK300" s="240"/>
    </row>
    <row r="301" spans="1:37" hidden="1" x14ac:dyDescent="0.2">
      <c r="A301" s="248"/>
      <c r="B301" s="234"/>
      <c r="C301" s="235"/>
      <c r="D301" s="235"/>
      <c r="E301" s="235"/>
      <c r="F301" s="236"/>
      <c r="G301" s="239"/>
      <c r="H301" s="248"/>
      <c r="I301" s="234"/>
      <c r="J301" s="235"/>
      <c r="K301" s="235"/>
      <c r="L301" s="235"/>
      <c r="M301" s="236"/>
      <c r="N301" s="239"/>
      <c r="O301" s="253"/>
      <c r="P301" s="234"/>
      <c r="Q301" s="235"/>
      <c r="R301" s="235"/>
      <c r="S301" s="235"/>
      <c r="T301" s="236"/>
      <c r="U301" s="239"/>
      <c r="V301" s="254"/>
      <c r="W301" s="234"/>
      <c r="X301" s="235"/>
      <c r="Y301" s="235"/>
      <c r="Z301" s="235"/>
      <c r="AA301" s="247"/>
      <c r="AB301" s="251"/>
      <c r="AC301" s="520"/>
      <c r="AD301" s="234" t="s">
        <v>228</v>
      </c>
      <c r="AE301" s="235">
        <f t="shared" si="54"/>
        <v>0</v>
      </c>
      <c r="AF301" s="235">
        <f t="shared" si="56"/>
        <v>0</v>
      </c>
      <c r="AG301" s="235">
        <f t="shared" si="53"/>
        <v>0</v>
      </c>
      <c r="AH301" s="247">
        <f t="shared" si="57"/>
        <v>0</v>
      </c>
      <c r="AI301" s="251"/>
      <c r="AK301" s="240"/>
    </row>
    <row r="302" spans="1:37" hidden="1" x14ac:dyDescent="0.2">
      <c r="A302" s="248"/>
      <c r="B302" s="234"/>
      <c r="C302" s="235"/>
      <c r="D302" s="235"/>
      <c r="E302" s="235"/>
      <c r="F302" s="236"/>
      <c r="G302" s="239"/>
      <c r="H302" s="248"/>
      <c r="I302" s="234"/>
      <c r="J302" s="235"/>
      <c r="K302" s="235"/>
      <c r="L302" s="235"/>
      <c r="M302" s="236"/>
      <c r="N302" s="239"/>
      <c r="O302" s="253"/>
      <c r="P302" s="234"/>
      <c r="Q302" s="235"/>
      <c r="R302" s="235"/>
      <c r="S302" s="235"/>
      <c r="T302" s="236"/>
      <c r="U302" s="239"/>
      <c r="V302" s="254"/>
      <c r="W302" s="234"/>
      <c r="X302" s="235"/>
      <c r="Y302" s="235"/>
      <c r="Z302" s="235"/>
      <c r="AA302" s="247"/>
      <c r="AB302" s="251"/>
      <c r="AC302" s="520"/>
      <c r="AD302" s="234" t="s">
        <v>229</v>
      </c>
      <c r="AE302" s="235">
        <f t="shared" si="54"/>
        <v>0</v>
      </c>
      <c r="AF302" s="235">
        <f t="shared" si="56"/>
        <v>0</v>
      </c>
      <c r="AG302" s="235">
        <f t="shared" si="53"/>
        <v>0</v>
      </c>
      <c r="AH302" s="247">
        <f t="shared" si="57"/>
        <v>0</v>
      </c>
      <c r="AI302" s="251"/>
      <c r="AK302" s="240"/>
    </row>
    <row r="303" spans="1:37" hidden="1" x14ac:dyDescent="0.2">
      <c r="A303" s="248"/>
      <c r="B303" s="234"/>
      <c r="C303" s="235"/>
      <c r="D303" s="235"/>
      <c r="E303" s="235"/>
      <c r="F303" s="236"/>
      <c r="G303" s="239"/>
      <c r="H303" s="248"/>
      <c r="I303" s="234"/>
      <c r="J303" s="235"/>
      <c r="K303" s="235"/>
      <c r="L303" s="235"/>
      <c r="M303" s="236"/>
      <c r="N303" s="239"/>
      <c r="O303" s="253"/>
      <c r="P303" s="234"/>
      <c r="Q303" s="235"/>
      <c r="R303" s="235"/>
      <c r="S303" s="235"/>
      <c r="T303" s="236"/>
      <c r="U303" s="239"/>
      <c r="V303" s="254"/>
      <c r="W303" s="234"/>
      <c r="X303" s="235"/>
      <c r="Y303" s="235"/>
      <c r="Z303" s="235"/>
      <c r="AA303" s="247"/>
      <c r="AB303" s="251"/>
      <c r="AC303" s="520"/>
      <c r="AD303" s="234" t="s">
        <v>230</v>
      </c>
      <c r="AE303" s="235">
        <f t="shared" si="54"/>
        <v>0</v>
      </c>
      <c r="AF303" s="235">
        <f t="shared" si="56"/>
        <v>0</v>
      </c>
      <c r="AG303" s="235">
        <f t="shared" si="53"/>
        <v>0</v>
      </c>
      <c r="AH303" s="247">
        <f t="shared" si="57"/>
        <v>0</v>
      </c>
      <c r="AI303" s="251"/>
      <c r="AK303" s="240"/>
    </row>
    <row r="304" spans="1:37" hidden="1" x14ac:dyDescent="0.2">
      <c r="A304" s="248"/>
      <c r="B304" s="234"/>
      <c r="C304" s="235"/>
      <c r="D304" s="235"/>
      <c r="E304" s="235"/>
      <c r="F304" s="236"/>
      <c r="G304" s="239"/>
      <c r="H304" s="248"/>
      <c r="I304" s="234"/>
      <c r="J304" s="235"/>
      <c r="K304" s="235"/>
      <c r="L304" s="235"/>
      <c r="M304" s="236"/>
      <c r="N304" s="239"/>
      <c r="O304" s="253"/>
      <c r="P304" s="234"/>
      <c r="Q304" s="235"/>
      <c r="R304" s="235"/>
      <c r="S304" s="235"/>
      <c r="T304" s="236"/>
      <c r="U304" s="239"/>
      <c r="V304" s="254"/>
      <c r="W304" s="234"/>
      <c r="X304" s="235"/>
      <c r="Y304" s="235"/>
      <c r="Z304" s="235"/>
      <c r="AA304" s="247"/>
      <c r="AB304" s="251"/>
      <c r="AC304" s="520"/>
      <c r="AD304" s="234" t="s">
        <v>231</v>
      </c>
      <c r="AE304" s="235">
        <f t="shared" si="54"/>
        <v>0</v>
      </c>
      <c r="AF304" s="235">
        <f t="shared" si="56"/>
        <v>0</v>
      </c>
      <c r="AG304" s="235">
        <f t="shared" si="53"/>
        <v>0</v>
      </c>
      <c r="AH304" s="247">
        <f t="shared" si="57"/>
        <v>0</v>
      </c>
      <c r="AI304" s="251"/>
      <c r="AK304" s="240"/>
    </row>
    <row r="305" spans="1:37" hidden="1" x14ac:dyDescent="0.2">
      <c r="A305" s="248"/>
      <c r="B305" s="234"/>
      <c r="C305" s="235"/>
      <c r="D305" s="235"/>
      <c r="E305" s="235"/>
      <c r="F305" s="236"/>
      <c r="G305" s="239"/>
      <c r="H305" s="248"/>
      <c r="I305" s="234"/>
      <c r="J305" s="235"/>
      <c r="K305" s="235"/>
      <c r="L305" s="235"/>
      <c r="M305" s="236"/>
      <c r="N305" s="239"/>
      <c r="O305" s="253"/>
      <c r="P305" s="234"/>
      <c r="Q305" s="235"/>
      <c r="R305" s="235"/>
      <c r="S305" s="235"/>
      <c r="T305" s="236"/>
      <c r="U305" s="239"/>
      <c r="V305" s="254"/>
      <c r="W305" s="234"/>
      <c r="X305" s="235"/>
      <c r="Y305" s="235"/>
      <c r="Z305" s="235"/>
      <c r="AA305" s="247"/>
      <c r="AB305" s="251"/>
      <c r="AC305" s="520"/>
      <c r="AD305" s="234" t="s">
        <v>232</v>
      </c>
      <c r="AE305" s="235">
        <f t="shared" si="54"/>
        <v>0</v>
      </c>
      <c r="AF305" s="235">
        <f t="shared" si="56"/>
        <v>0</v>
      </c>
      <c r="AG305" s="235">
        <f t="shared" si="53"/>
        <v>0</v>
      </c>
      <c r="AH305" s="247">
        <f t="shared" si="57"/>
        <v>0</v>
      </c>
      <c r="AI305" s="251"/>
      <c r="AK305" s="240"/>
    </row>
    <row r="306" spans="1:37" hidden="1" x14ac:dyDescent="0.2">
      <c r="A306" s="248"/>
      <c r="B306" s="234"/>
      <c r="C306" s="235"/>
      <c r="D306" s="235"/>
      <c r="E306" s="235"/>
      <c r="F306" s="236"/>
      <c r="G306" s="239"/>
      <c r="H306" s="248"/>
      <c r="I306" s="234"/>
      <c r="J306" s="235"/>
      <c r="K306" s="235"/>
      <c r="L306" s="235"/>
      <c r="M306" s="236"/>
      <c r="N306" s="239"/>
      <c r="O306" s="253"/>
      <c r="P306" s="234"/>
      <c r="Q306" s="235"/>
      <c r="R306" s="235"/>
      <c r="S306" s="235"/>
      <c r="T306" s="236"/>
      <c r="U306" s="239"/>
      <c r="V306" s="254"/>
      <c r="W306" s="234"/>
      <c r="X306" s="235"/>
      <c r="Y306" s="235"/>
      <c r="Z306" s="235"/>
      <c r="AA306" s="247"/>
      <c r="AB306" s="251"/>
      <c r="AC306" s="520"/>
      <c r="AD306" s="234" t="s">
        <v>233</v>
      </c>
      <c r="AE306" s="235">
        <f t="shared" si="54"/>
        <v>0</v>
      </c>
      <c r="AF306" s="235">
        <f t="shared" si="56"/>
        <v>0</v>
      </c>
      <c r="AG306" s="235">
        <f t="shared" si="53"/>
        <v>0</v>
      </c>
      <c r="AH306" s="247">
        <f t="shared" si="57"/>
        <v>0</v>
      </c>
      <c r="AI306" s="251"/>
      <c r="AK306" s="240"/>
    </row>
    <row r="307" spans="1:37" hidden="1" x14ac:dyDescent="0.2">
      <c r="A307" s="248"/>
      <c r="B307" s="234"/>
      <c r="C307" s="235"/>
      <c r="D307" s="235"/>
      <c r="E307" s="235"/>
      <c r="F307" s="236"/>
      <c r="G307" s="239"/>
      <c r="H307" s="248"/>
      <c r="I307" s="234"/>
      <c r="J307" s="235"/>
      <c r="K307" s="235"/>
      <c r="L307" s="235"/>
      <c r="M307" s="236"/>
      <c r="N307" s="239"/>
      <c r="O307" s="253"/>
      <c r="P307" s="234"/>
      <c r="Q307" s="235"/>
      <c r="R307" s="235"/>
      <c r="S307" s="235"/>
      <c r="T307" s="236"/>
      <c r="U307" s="239"/>
      <c r="V307" s="254"/>
      <c r="W307" s="234"/>
      <c r="X307" s="235"/>
      <c r="Y307" s="235"/>
      <c r="Z307" s="235"/>
      <c r="AA307" s="247"/>
      <c r="AB307" s="251"/>
      <c r="AC307" s="520"/>
      <c r="AD307" s="234" t="s">
        <v>234</v>
      </c>
      <c r="AE307" s="235">
        <f t="shared" si="54"/>
        <v>0</v>
      </c>
      <c r="AF307" s="235">
        <f t="shared" si="56"/>
        <v>0</v>
      </c>
      <c r="AG307" s="235">
        <f t="shared" si="53"/>
        <v>0</v>
      </c>
      <c r="AH307" s="247">
        <f t="shared" si="57"/>
        <v>0</v>
      </c>
      <c r="AI307" s="251"/>
      <c r="AK307" s="240"/>
    </row>
    <row r="308" spans="1:37" hidden="1" x14ac:dyDescent="0.2">
      <c r="A308" s="248"/>
      <c r="B308" s="234"/>
      <c r="C308" s="235"/>
      <c r="D308" s="235"/>
      <c r="E308" s="235"/>
      <c r="F308" s="236"/>
      <c r="G308" s="239"/>
      <c r="H308" s="248"/>
      <c r="I308" s="234"/>
      <c r="J308" s="235"/>
      <c r="K308" s="235"/>
      <c r="L308" s="235"/>
      <c r="M308" s="236"/>
      <c r="N308" s="239"/>
      <c r="O308" s="253"/>
      <c r="P308" s="234"/>
      <c r="Q308" s="235"/>
      <c r="R308" s="235"/>
      <c r="S308" s="235"/>
      <c r="T308" s="236"/>
      <c r="U308" s="239"/>
      <c r="V308" s="254"/>
      <c r="W308" s="234"/>
      <c r="X308" s="235"/>
      <c r="Y308" s="235"/>
      <c r="Z308" s="235"/>
      <c r="AA308" s="247"/>
      <c r="AB308" s="251"/>
      <c r="AC308" s="520"/>
      <c r="AD308" s="234" t="s">
        <v>235</v>
      </c>
      <c r="AE308" s="235">
        <f t="shared" si="54"/>
        <v>0</v>
      </c>
      <c r="AF308" s="235">
        <f t="shared" si="56"/>
        <v>0</v>
      </c>
      <c r="AG308" s="235">
        <f t="shared" si="53"/>
        <v>0</v>
      </c>
      <c r="AH308" s="247">
        <f t="shared" si="57"/>
        <v>0</v>
      </c>
      <c r="AI308" s="251"/>
      <c r="AK308" s="240"/>
    </row>
    <row r="309" spans="1:37" hidden="1" x14ac:dyDescent="0.2">
      <c r="A309" s="248"/>
      <c r="B309" s="234"/>
      <c r="C309" s="235"/>
      <c r="D309" s="235"/>
      <c r="E309" s="235"/>
      <c r="F309" s="236"/>
      <c r="G309" s="239"/>
      <c r="H309" s="248"/>
      <c r="I309" s="234"/>
      <c r="J309" s="235"/>
      <c r="K309" s="235"/>
      <c r="L309" s="235"/>
      <c r="M309" s="236"/>
      <c r="N309" s="239"/>
      <c r="O309" s="253"/>
      <c r="P309" s="234"/>
      <c r="Q309" s="235"/>
      <c r="R309" s="235"/>
      <c r="S309" s="235"/>
      <c r="T309" s="236"/>
      <c r="U309" s="239"/>
      <c r="V309" s="254"/>
      <c r="W309" s="234"/>
      <c r="X309" s="235"/>
      <c r="Y309" s="235"/>
      <c r="Z309" s="235"/>
      <c r="AA309" s="247"/>
      <c r="AB309" s="251"/>
      <c r="AC309" s="521"/>
      <c r="AD309" s="234" t="s">
        <v>236</v>
      </c>
      <c r="AE309" s="235">
        <f t="shared" si="54"/>
        <v>0</v>
      </c>
      <c r="AF309" s="235">
        <f t="shared" si="56"/>
        <v>0</v>
      </c>
      <c r="AG309" s="235">
        <f t="shared" si="53"/>
        <v>0</v>
      </c>
      <c r="AH309" s="247">
        <f t="shared" si="57"/>
        <v>0</v>
      </c>
      <c r="AI309" s="251">
        <f>SUM(AF298:AF309)</f>
        <v>0</v>
      </c>
      <c r="AJ309" s="208">
        <f>AC298</f>
        <v>2045</v>
      </c>
      <c r="AK309" s="240">
        <f>G309+N309+U309+AB309+AI309</f>
        <v>0</v>
      </c>
    </row>
    <row r="310" spans="1:37" hidden="1" x14ac:dyDescent="0.2">
      <c r="A310" s="248"/>
      <c r="B310" s="234"/>
      <c r="C310" s="235"/>
      <c r="D310" s="235"/>
      <c r="E310" s="235"/>
      <c r="F310" s="236"/>
      <c r="G310" s="239"/>
      <c r="H310" s="248"/>
      <c r="I310" s="234"/>
      <c r="J310" s="235"/>
      <c r="K310" s="235"/>
      <c r="L310" s="235"/>
      <c r="M310" s="236"/>
      <c r="N310" s="239"/>
      <c r="O310" s="253"/>
      <c r="P310" s="234"/>
      <c r="Q310" s="235"/>
      <c r="R310" s="235"/>
      <c r="S310" s="235"/>
      <c r="T310" s="236"/>
      <c r="U310" s="239"/>
      <c r="V310" s="254"/>
      <c r="W310" s="234"/>
      <c r="X310" s="235"/>
      <c r="Y310" s="235"/>
      <c r="Z310" s="235"/>
      <c r="AA310" s="247"/>
      <c r="AB310" s="251"/>
      <c r="AC310" s="519">
        <v>2046</v>
      </c>
      <c r="AD310" s="234" t="s">
        <v>225</v>
      </c>
      <c r="AE310" s="235"/>
      <c r="AF310" s="235"/>
      <c r="AG310" s="235"/>
      <c r="AH310" s="247">
        <f t="shared" si="57"/>
        <v>0</v>
      </c>
      <c r="AI310" s="251"/>
      <c r="AK310" s="240"/>
    </row>
    <row r="311" spans="1:37" hidden="1" x14ac:dyDescent="0.2">
      <c r="A311" s="248"/>
      <c r="B311" s="234"/>
      <c r="C311" s="235"/>
      <c r="D311" s="235"/>
      <c r="E311" s="235"/>
      <c r="F311" s="236"/>
      <c r="G311" s="239"/>
      <c r="H311" s="248"/>
      <c r="I311" s="234"/>
      <c r="J311" s="235"/>
      <c r="K311" s="235"/>
      <c r="L311" s="235"/>
      <c r="M311" s="236"/>
      <c r="N311" s="239"/>
      <c r="O311" s="253"/>
      <c r="P311" s="234"/>
      <c r="Q311" s="235"/>
      <c r="R311" s="235"/>
      <c r="S311" s="235"/>
      <c r="T311" s="236"/>
      <c r="U311" s="239"/>
      <c r="V311" s="254"/>
      <c r="W311" s="234"/>
      <c r="X311" s="235"/>
      <c r="Y311" s="235"/>
      <c r="Z311" s="235"/>
      <c r="AA311" s="247"/>
      <c r="AB311" s="251"/>
      <c r="AC311" s="520"/>
      <c r="AD311" s="234" t="s">
        <v>226</v>
      </c>
      <c r="AE311" s="235"/>
      <c r="AF311" s="235"/>
      <c r="AG311" s="235"/>
      <c r="AH311" s="247">
        <f t="shared" si="57"/>
        <v>0</v>
      </c>
      <c r="AI311" s="251"/>
      <c r="AK311" s="240"/>
    </row>
    <row r="312" spans="1:37" hidden="1" x14ac:dyDescent="0.2">
      <c r="A312" s="248"/>
      <c r="B312" s="234"/>
      <c r="C312" s="235"/>
      <c r="D312" s="235"/>
      <c r="E312" s="235"/>
      <c r="F312" s="236"/>
      <c r="G312" s="239"/>
      <c r="H312" s="248"/>
      <c r="I312" s="234"/>
      <c r="J312" s="235"/>
      <c r="K312" s="235"/>
      <c r="L312" s="235"/>
      <c r="M312" s="236"/>
      <c r="N312" s="239"/>
      <c r="O312" s="253"/>
      <c r="P312" s="234"/>
      <c r="Q312" s="235"/>
      <c r="R312" s="235"/>
      <c r="S312" s="235"/>
      <c r="T312" s="236"/>
      <c r="U312" s="239"/>
      <c r="V312" s="254"/>
      <c r="W312" s="234"/>
      <c r="X312" s="235"/>
      <c r="Y312" s="235"/>
      <c r="Z312" s="235"/>
      <c r="AA312" s="247"/>
      <c r="AB312" s="251"/>
      <c r="AC312" s="520"/>
      <c r="AD312" s="234" t="s">
        <v>227</v>
      </c>
      <c r="AE312" s="235"/>
      <c r="AF312" s="235"/>
      <c r="AG312" s="235"/>
      <c r="AH312" s="247">
        <f t="shared" si="57"/>
        <v>0</v>
      </c>
      <c r="AI312" s="251"/>
      <c r="AK312" s="240"/>
    </row>
    <row r="313" spans="1:37" hidden="1" x14ac:dyDescent="0.2">
      <c r="A313" s="248"/>
      <c r="B313" s="234"/>
      <c r="C313" s="235"/>
      <c r="D313" s="235"/>
      <c r="E313" s="235"/>
      <c r="F313" s="236"/>
      <c r="G313" s="239"/>
      <c r="H313" s="248"/>
      <c r="I313" s="234"/>
      <c r="J313" s="235"/>
      <c r="K313" s="235"/>
      <c r="L313" s="235"/>
      <c r="M313" s="236"/>
      <c r="N313" s="239"/>
      <c r="O313" s="253"/>
      <c r="P313" s="234"/>
      <c r="Q313" s="235"/>
      <c r="R313" s="235"/>
      <c r="S313" s="235"/>
      <c r="T313" s="236"/>
      <c r="U313" s="239"/>
      <c r="V313" s="254"/>
      <c r="W313" s="234"/>
      <c r="X313" s="235"/>
      <c r="Y313" s="235"/>
      <c r="Z313" s="235"/>
      <c r="AA313" s="247"/>
      <c r="AB313" s="251"/>
      <c r="AC313" s="520"/>
      <c r="AD313" s="234" t="s">
        <v>228</v>
      </c>
      <c r="AE313" s="235"/>
      <c r="AF313" s="235"/>
      <c r="AG313" s="235"/>
      <c r="AH313" s="247">
        <f t="shared" si="57"/>
        <v>0</v>
      </c>
      <c r="AI313" s="251"/>
      <c r="AK313" s="240"/>
    </row>
    <row r="314" spans="1:37" hidden="1" x14ac:dyDescent="0.2">
      <c r="A314" s="248"/>
      <c r="B314" s="234"/>
      <c r="C314" s="235"/>
      <c r="D314" s="235"/>
      <c r="E314" s="235"/>
      <c r="F314" s="236"/>
      <c r="G314" s="239"/>
      <c r="H314" s="248"/>
      <c r="I314" s="234"/>
      <c r="J314" s="235"/>
      <c r="K314" s="235"/>
      <c r="L314" s="235"/>
      <c r="M314" s="236"/>
      <c r="N314" s="239"/>
      <c r="O314" s="253"/>
      <c r="P314" s="234"/>
      <c r="Q314" s="235"/>
      <c r="R314" s="235"/>
      <c r="S314" s="235"/>
      <c r="T314" s="236"/>
      <c r="U314" s="239"/>
      <c r="V314" s="254"/>
      <c r="W314" s="234"/>
      <c r="X314" s="235"/>
      <c r="Y314" s="235"/>
      <c r="Z314" s="235"/>
      <c r="AA314" s="247"/>
      <c r="AB314" s="251"/>
      <c r="AC314" s="520"/>
      <c r="AD314" s="234" t="s">
        <v>229</v>
      </c>
      <c r="AE314" s="235"/>
      <c r="AF314" s="235"/>
      <c r="AG314" s="235"/>
      <c r="AH314" s="247">
        <f t="shared" si="57"/>
        <v>0</v>
      </c>
      <c r="AI314" s="251"/>
      <c r="AK314" s="240"/>
    </row>
    <row r="315" spans="1:37" hidden="1" x14ac:dyDescent="0.2">
      <c r="A315" s="248"/>
      <c r="B315" s="234"/>
      <c r="C315" s="235"/>
      <c r="D315" s="235"/>
      <c r="E315" s="235"/>
      <c r="F315" s="236"/>
      <c r="G315" s="239"/>
      <c r="H315" s="248"/>
      <c r="I315" s="234"/>
      <c r="J315" s="235"/>
      <c r="K315" s="235"/>
      <c r="L315" s="235"/>
      <c r="M315" s="236"/>
      <c r="N315" s="239"/>
      <c r="O315" s="253"/>
      <c r="P315" s="234"/>
      <c r="Q315" s="235"/>
      <c r="R315" s="235"/>
      <c r="S315" s="235"/>
      <c r="T315" s="236"/>
      <c r="U315" s="239"/>
      <c r="V315" s="254"/>
      <c r="W315" s="234"/>
      <c r="X315" s="235"/>
      <c r="Y315" s="235"/>
      <c r="Z315" s="235"/>
      <c r="AA315" s="247"/>
      <c r="AB315" s="251"/>
      <c r="AC315" s="520"/>
      <c r="AD315" s="234" t="s">
        <v>230</v>
      </c>
      <c r="AE315" s="235"/>
      <c r="AF315" s="235"/>
      <c r="AG315" s="235"/>
      <c r="AH315" s="247">
        <f t="shared" si="57"/>
        <v>0</v>
      </c>
      <c r="AI315" s="251"/>
      <c r="AK315" s="240"/>
    </row>
    <row r="316" spans="1:37" hidden="1" x14ac:dyDescent="0.2">
      <c r="A316" s="248"/>
      <c r="B316" s="234"/>
      <c r="C316" s="235"/>
      <c r="D316" s="235"/>
      <c r="E316" s="235"/>
      <c r="F316" s="236"/>
      <c r="G316" s="239"/>
      <c r="H316" s="248"/>
      <c r="I316" s="234"/>
      <c r="J316" s="235"/>
      <c r="K316" s="235"/>
      <c r="L316" s="235"/>
      <c r="M316" s="236"/>
      <c r="N316" s="239"/>
      <c r="O316" s="253"/>
      <c r="P316" s="234"/>
      <c r="Q316" s="235"/>
      <c r="R316" s="235"/>
      <c r="S316" s="235"/>
      <c r="T316" s="236"/>
      <c r="U316" s="239"/>
      <c r="V316" s="254"/>
      <c r="W316" s="234"/>
      <c r="X316" s="235"/>
      <c r="Y316" s="235"/>
      <c r="Z316" s="235"/>
      <c r="AA316" s="247"/>
      <c r="AB316" s="251"/>
      <c r="AC316" s="520"/>
      <c r="AD316" s="234" t="s">
        <v>231</v>
      </c>
      <c r="AE316" s="235"/>
      <c r="AF316" s="235"/>
      <c r="AG316" s="235"/>
      <c r="AH316" s="247">
        <f t="shared" si="57"/>
        <v>0</v>
      </c>
      <c r="AI316" s="251"/>
      <c r="AK316" s="240"/>
    </row>
    <row r="317" spans="1:37" hidden="1" x14ac:dyDescent="0.2">
      <c r="A317" s="248"/>
      <c r="B317" s="234"/>
      <c r="C317" s="235"/>
      <c r="D317" s="235"/>
      <c r="E317" s="235"/>
      <c r="F317" s="236"/>
      <c r="G317" s="239"/>
      <c r="H317" s="248"/>
      <c r="I317" s="234"/>
      <c r="J317" s="235"/>
      <c r="K317" s="235"/>
      <c r="L317" s="235"/>
      <c r="M317" s="236"/>
      <c r="N317" s="239"/>
      <c r="O317" s="253"/>
      <c r="P317" s="234"/>
      <c r="Q317" s="235"/>
      <c r="R317" s="235"/>
      <c r="S317" s="235"/>
      <c r="T317" s="236"/>
      <c r="U317" s="239"/>
      <c r="V317" s="254"/>
      <c r="W317" s="234"/>
      <c r="X317" s="235"/>
      <c r="Y317" s="235"/>
      <c r="Z317" s="235"/>
      <c r="AA317" s="247"/>
      <c r="AB317" s="251"/>
      <c r="AC317" s="520"/>
      <c r="AD317" s="234" t="s">
        <v>232</v>
      </c>
      <c r="AE317" s="235"/>
      <c r="AF317" s="235"/>
      <c r="AG317" s="235"/>
      <c r="AH317" s="247">
        <f t="shared" si="57"/>
        <v>0</v>
      </c>
      <c r="AI317" s="251"/>
      <c r="AK317" s="240"/>
    </row>
    <row r="318" spans="1:37" hidden="1" x14ac:dyDescent="0.2">
      <c r="A318" s="248"/>
      <c r="B318" s="234"/>
      <c r="C318" s="235"/>
      <c r="D318" s="235"/>
      <c r="E318" s="235"/>
      <c r="F318" s="236"/>
      <c r="G318" s="239"/>
      <c r="H318" s="248"/>
      <c r="I318" s="234"/>
      <c r="J318" s="235"/>
      <c r="K318" s="235"/>
      <c r="L318" s="235"/>
      <c r="M318" s="236"/>
      <c r="N318" s="239"/>
      <c r="O318" s="253"/>
      <c r="P318" s="234"/>
      <c r="Q318" s="235"/>
      <c r="R318" s="235"/>
      <c r="S318" s="235"/>
      <c r="T318" s="236"/>
      <c r="U318" s="239"/>
      <c r="V318" s="254"/>
      <c r="W318" s="234"/>
      <c r="X318" s="235"/>
      <c r="Y318" s="235"/>
      <c r="Z318" s="235"/>
      <c r="AA318" s="247"/>
      <c r="AB318" s="251"/>
      <c r="AC318" s="520"/>
      <c r="AD318" s="234" t="s">
        <v>233</v>
      </c>
      <c r="AE318" s="235"/>
      <c r="AF318" s="235"/>
      <c r="AG318" s="235"/>
      <c r="AH318" s="247">
        <f t="shared" si="57"/>
        <v>0</v>
      </c>
      <c r="AI318" s="251"/>
      <c r="AK318" s="240"/>
    </row>
    <row r="319" spans="1:37" hidden="1" x14ac:dyDescent="0.2">
      <c r="A319" s="248"/>
      <c r="B319" s="234"/>
      <c r="C319" s="235"/>
      <c r="D319" s="235"/>
      <c r="E319" s="235"/>
      <c r="F319" s="236"/>
      <c r="G319" s="239"/>
      <c r="H319" s="248"/>
      <c r="I319" s="234"/>
      <c r="J319" s="235"/>
      <c r="K319" s="235"/>
      <c r="L319" s="235"/>
      <c r="M319" s="236"/>
      <c r="N319" s="239"/>
      <c r="O319" s="253"/>
      <c r="P319" s="234"/>
      <c r="Q319" s="235"/>
      <c r="R319" s="235"/>
      <c r="S319" s="235"/>
      <c r="T319" s="236"/>
      <c r="U319" s="239"/>
      <c r="V319" s="254"/>
      <c r="W319" s="234"/>
      <c r="X319" s="235"/>
      <c r="Y319" s="235"/>
      <c r="Z319" s="235"/>
      <c r="AA319" s="247"/>
      <c r="AB319" s="251"/>
      <c r="AC319" s="520"/>
      <c r="AD319" s="234" t="s">
        <v>234</v>
      </c>
      <c r="AE319" s="235"/>
      <c r="AF319" s="235"/>
      <c r="AG319" s="235"/>
      <c r="AH319" s="247">
        <f t="shared" si="57"/>
        <v>0</v>
      </c>
      <c r="AI319" s="251"/>
      <c r="AK319" s="240"/>
    </row>
    <row r="320" spans="1:37" hidden="1" x14ac:dyDescent="0.2">
      <c r="A320" s="248"/>
      <c r="B320" s="234"/>
      <c r="C320" s="235"/>
      <c r="D320" s="235"/>
      <c r="E320" s="235"/>
      <c r="F320" s="236"/>
      <c r="G320" s="239"/>
      <c r="H320" s="248"/>
      <c r="I320" s="234"/>
      <c r="J320" s="235"/>
      <c r="K320" s="235"/>
      <c r="L320" s="235"/>
      <c r="M320" s="236"/>
      <c r="N320" s="239"/>
      <c r="O320" s="253"/>
      <c r="P320" s="234"/>
      <c r="Q320" s="235"/>
      <c r="R320" s="235"/>
      <c r="S320" s="235"/>
      <c r="T320" s="236"/>
      <c r="U320" s="239"/>
      <c r="V320" s="254"/>
      <c r="W320" s="234"/>
      <c r="X320" s="235"/>
      <c r="Y320" s="235"/>
      <c r="Z320" s="235"/>
      <c r="AA320" s="247"/>
      <c r="AB320" s="251"/>
      <c r="AC320" s="520"/>
      <c r="AD320" s="234" t="s">
        <v>235</v>
      </c>
      <c r="AE320" s="235"/>
      <c r="AF320" s="235"/>
      <c r="AG320" s="235"/>
      <c r="AH320" s="247">
        <f t="shared" si="57"/>
        <v>0</v>
      </c>
      <c r="AI320" s="251"/>
      <c r="AK320" s="240"/>
    </row>
    <row r="321" spans="1:37" hidden="1" x14ac:dyDescent="0.2">
      <c r="A321" s="248"/>
      <c r="B321" s="234"/>
      <c r="C321" s="235"/>
      <c r="D321" s="235"/>
      <c r="E321" s="235"/>
      <c r="F321" s="236"/>
      <c r="G321" s="239"/>
      <c r="H321" s="248"/>
      <c r="I321" s="234"/>
      <c r="J321" s="235"/>
      <c r="K321" s="235"/>
      <c r="L321" s="235"/>
      <c r="M321" s="236"/>
      <c r="N321" s="239"/>
      <c r="O321" s="253"/>
      <c r="P321" s="234"/>
      <c r="Q321" s="235"/>
      <c r="R321" s="235"/>
      <c r="S321" s="235"/>
      <c r="T321" s="236"/>
      <c r="U321" s="239"/>
      <c r="V321" s="254"/>
      <c r="W321" s="234"/>
      <c r="X321" s="235"/>
      <c r="Y321" s="235"/>
      <c r="Z321" s="235"/>
      <c r="AA321" s="247"/>
      <c r="AB321" s="251"/>
      <c r="AC321" s="521"/>
      <c r="AD321" s="234" t="s">
        <v>236</v>
      </c>
      <c r="AE321" s="235"/>
      <c r="AF321" s="235"/>
      <c r="AG321" s="235"/>
      <c r="AH321" s="247">
        <f t="shared" si="57"/>
        <v>0</v>
      </c>
      <c r="AI321" s="251"/>
      <c r="AK321" s="240"/>
    </row>
    <row r="322" spans="1:37" hidden="1" x14ac:dyDescent="0.2">
      <c r="A322" s="248"/>
      <c r="B322" s="234"/>
      <c r="C322" s="235"/>
      <c r="D322" s="235"/>
      <c r="E322" s="235"/>
      <c r="F322" s="236"/>
      <c r="G322" s="239"/>
      <c r="H322" s="248"/>
      <c r="I322" s="234"/>
      <c r="J322" s="235"/>
      <c r="K322" s="235"/>
      <c r="L322" s="235"/>
      <c r="M322" s="236"/>
      <c r="N322" s="239"/>
      <c r="O322" s="253"/>
      <c r="P322" s="234"/>
      <c r="Q322" s="235"/>
      <c r="R322" s="235"/>
      <c r="S322" s="235"/>
      <c r="T322" s="236"/>
      <c r="U322" s="239"/>
      <c r="V322" s="254"/>
      <c r="W322" s="234"/>
      <c r="X322" s="235"/>
      <c r="Y322" s="235"/>
      <c r="Z322" s="235"/>
      <c r="AA322" s="247"/>
      <c r="AB322" s="251"/>
      <c r="AC322" s="519">
        <v>2047</v>
      </c>
      <c r="AD322" s="234" t="s">
        <v>225</v>
      </c>
      <c r="AE322" s="235"/>
      <c r="AF322" s="235"/>
      <c r="AG322" s="235"/>
      <c r="AH322" s="247">
        <f t="shared" si="57"/>
        <v>0</v>
      </c>
      <c r="AI322" s="251"/>
      <c r="AK322" s="240"/>
    </row>
    <row r="323" spans="1:37" hidden="1" x14ac:dyDescent="0.2">
      <c r="A323" s="248"/>
      <c r="B323" s="234"/>
      <c r="C323" s="235"/>
      <c r="D323" s="235"/>
      <c r="E323" s="235"/>
      <c r="F323" s="236"/>
      <c r="G323" s="239"/>
      <c r="H323" s="248"/>
      <c r="I323" s="234"/>
      <c r="J323" s="235"/>
      <c r="K323" s="235"/>
      <c r="L323" s="235"/>
      <c r="M323" s="236"/>
      <c r="N323" s="239"/>
      <c r="O323" s="253"/>
      <c r="P323" s="234"/>
      <c r="Q323" s="235"/>
      <c r="R323" s="235"/>
      <c r="S323" s="235"/>
      <c r="T323" s="236"/>
      <c r="U323" s="239"/>
      <c r="V323" s="254"/>
      <c r="W323" s="234"/>
      <c r="X323" s="235"/>
      <c r="Y323" s="235"/>
      <c r="Z323" s="235"/>
      <c r="AA323" s="247"/>
      <c r="AB323" s="251"/>
      <c r="AC323" s="520"/>
      <c r="AD323" s="234" t="s">
        <v>226</v>
      </c>
      <c r="AE323" s="235"/>
      <c r="AF323" s="235"/>
      <c r="AG323" s="235"/>
      <c r="AH323" s="247">
        <f t="shared" si="57"/>
        <v>0</v>
      </c>
      <c r="AI323" s="251"/>
      <c r="AK323" s="240"/>
    </row>
    <row r="324" spans="1:37" hidden="1" x14ac:dyDescent="0.2">
      <c r="A324" s="248"/>
      <c r="B324" s="234"/>
      <c r="C324" s="235"/>
      <c r="D324" s="235"/>
      <c r="E324" s="235"/>
      <c r="F324" s="236"/>
      <c r="G324" s="239"/>
      <c r="H324" s="248"/>
      <c r="I324" s="234"/>
      <c r="J324" s="235"/>
      <c r="K324" s="235"/>
      <c r="L324" s="235"/>
      <c r="M324" s="236"/>
      <c r="N324" s="239"/>
      <c r="O324" s="253"/>
      <c r="P324" s="234"/>
      <c r="Q324" s="235"/>
      <c r="R324" s="235"/>
      <c r="S324" s="235"/>
      <c r="T324" s="236"/>
      <c r="U324" s="239"/>
      <c r="V324" s="254"/>
      <c r="W324" s="234"/>
      <c r="X324" s="235"/>
      <c r="Y324" s="235"/>
      <c r="Z324" s="235"/>
      <c r="AA324" s="247"/>
      <c r="AB324" s="251"/>
      <c r="AC324" s="520"/>
      <c r="AD324" s="234" t="s">
        <v>227</v>
      </c>
      <c r="AE324" s="235"/>
      <c r="AF324" s="235"/>
      <c r="AG324" s="235"/>
      <c r="AH324" s="247">
        <f t="shared" si="57"/>
        <v>0</v>
      </c>
      <c r="AI324" s="251"/>
      <c r="AK324" s="240"/>
    </row>
    <row r="325" spans="1:37" hidden="1" x14ac:dyDescent="0.2">
      <c r="A325" s="248"/>
      <c r="B325" s="234"/>
      <c r="C325" s="235"/>
      <c r="D325" s="235"/>
      <c r="E325" s="235"/>
      <c r="F325" s="236"/>
      <c r="G325" s="239"/>
      <c r="H325" s="248"/>
      <c r="I325" s="234"/>
      <c r="J325" s="235"/>
      <c r="K325" s="235"/>
      <c r="L325" s="235"/>
      <c r="M325" s="236"/>
      <c r="N325" s="239"/>
      <c r="O325" s="253"/>
      <c r="P325" s="234"/>
      <c r="Q325" s="235"/>
      <c r="R325" s="235"/>
      <c r="S325" s="235"/>
      <c r="T325" s="236"/>
      <c r="U325" s="239"/>
      <c r="V325" s="254"/>
      <c r="W325" s="234"/>
      <c r="X325" s="235"/>
      <c r="Y325" s="235"/>
      <c r="Z325" s="235"/>
      <c r="AA325" s="247"/>
      <c r="AB325" s="251"/>
      <c r="AC325" s="520"/>
      <c r="AD325" s="234" t="s">
        <v>228</v>
      </c>
      <c r="AE325" s="235"/>
      <c r="AF325" s="235"/>
      <c r="AG325" s="235"/>
      <c r="AH325" s="247">
        <f t="shared" si="57"/>
        <v>0</v>
      </c>
      <c r="AI325" s="251"/>
      <c r="AK325" s="240"/>
    </row>
    <row r="326" spans="1:37" hidden="1" x14ac:dyDescent="0.2">
      <c r="A326" s="248"/>
      <c r="B326" s="234"/>
      <c r="C326" s="235"/>
      <c r="D326" s="235"/>
      <c r="E326" s="235"/>
      <c r="F326" s="236"/>
      <c r="G326" s="239"/>
      <c r="H326" s="248"/>
      <c r="I326" s="234"/>
      <c r="J326" s="235"/>
      <c r="K326" s="235"/>
      <c r="L326" s="235"/>
      <c r="M326" s="236"/>
      <c r="N326" s="239"/>
      <c r="O326" s="253"/>
      <c r="P326" s="234"/>
      <c r="Q326" s="235"/>
      <c r="R326" s="235"/>
      <c r="S326" s="235"/>
      <c r="T326" s="236"/>
      <c r="U326" s="239"/>
      <c r="V326" s="254"/>
      <c r="W326" s="234"/>
      <c r="X326" s="235"/>
      <c r="Y326" s="235"/>
      <c r="Z326" s="235"/>
      <c r="AA326" s="247"/>
      <c r="AB326" s="251"/>
      <c r="AC326" s="520"/>
      <c r="AD326" s="234" t="s">
        <v>229</v>
      </c>
      <c r="AE326" s="235"/>
      <c r="AF326" s="235"/>
      <c r="AG326" s="235"/>
      <c r="AH326" s="247"/>
      <c r="AI326" s="251"/>
      <c r="AK326" s="240"/>
    </row>
    <row r="327" spans="1:37" hidden="1" x14ac:dyDescent="0.2">
      <c r="A327" s="248"/>
      <c r="B327" s="234"/>
      <c r="C327" s="235"/>
      <c r="D327" s="235"/>
      <c r="E327" s="235"/>
      <c r="F327" s="236"/>
      <c r="G327" s="239"/>
      <c r="H327" s="248"/>
      <c r="I327" s="234"/>
      <c r="J327" s="235"/>
      <c r="K327" s="235"/>
      <c r="L327" s="235"/>
      <c r="M327" s="236"/>
      <c r="N327" s="239"/>
      <c r="O327" s="253"/>
      <c r="P327" s="234"/>
      <c r="Q327" s="235"/>
      <c r="R327" s="235"/>
      <c r="S327" s="235"/>
      <c r="T327" s="236"/>
      <c r="U327" s="239"/>
      <c r="V327" s="254"/>
      <c r="W327" s="234"/>
      <c r="X327" s="235"/>
      <c r="Y327" s="235"/>
      <c r="Z327" s="235"/>
      <c r="AA327" s="247"/>
      <c r="AB327" s="251"/>
      <c r="AC327" s="520"/>
      <c r="AD327" s="234" t="s">
        <v>230</v>
      </c>
      <c r="AE327" s="235"/>
      <c r="AF327" s="235"/>
      <c r="AG327" s="235"/>
      <c r="AH327" s="247"/>
      <c r="AI327" s="251"/>
      <c r="AK327" s="240"/>
    </row>
    <row r="328" spans="1:37" hidden="1" x14ac:dyDescent="0.2">
      <c r="A328" s="248"/>
      <c r="B328" s="234"/>
      <c r="C328" s="235"/>
      <c r="D328" s="235"/>
      <c r="E328" s="235"/>
      <c r="F328" s="236"/>
      <c r="G328" s="239"/>
      <c r="H328" s="248"/>
      <c r="I328" s="234"/>
      <c r="J328" s="235"/>
      <c r="K328" s="235"/>
      <c r="L328" s="235"/>
      <c r="M328" s="236"/>
      <c r="N328" s="239"/>
      <c r="O328" s="253"/>
      <c r="P328" s="234"/>
      <c r="Q328" s="235"/>
      <c r="R328" s="235"/>
      <c r="S328" s="235"/>
      <c r="T328" s="236"/>
      <c r="U328" s="239"/>
      <c r="V328" s="254"/>
      <c r="W328" s="234"/>
      <c r="X328" s="235"/>
      <c r="Y328" s="235"/>
      <c r="Z328" s="235"/>
      <c r="AA328" s="247"/>
      <c r="AB328" s="251"/>
      <c r="AC328" s="520"/>
      <c r="AD328" s="234" t="s">
        <v>231</v>
      </c>
      <c r="AE328" s="235"/>
      <c r="AF328" s="235"/>
      <c r="AG328" s="235"/>
      <c r="AH328" s="247"/>
      <c r="AI328" s="251"/>
      <c r="AK328" s="240"/>
    </row>
    <row r="329" spans="1:37" hidden="1" x14ac:dyDescent="0.2">
      <c r="A329" s="248"/>
      <c r="B329" s="234"/>
      <c r="C329" s="235"/>
      <c r="D329" s="235"/>
      <c r="E329" s="235"/>
      <c r="F329" s="236"/>
      <c r="G329" s="239"/>
      <c r="H329" s="248"/>
      <c r="I329" s="234"/>
      <c r="J329" s="235"/>
      <c r="K329" s="235"/>
      <c r="L329" s="235"/>
      <c r="M329" s="236"/>
      <c r="N329" s="239"/>
      <c r="O329" s="253"/>
      <c r="P329" s="234"/>
      <c r="Q329" s="235"/>
      <c r="R329" s="235"/>
      <c r="S329" s="235"/>
      <c r="T329" s="236"/>
      <c r="U329" s="239"/>
      <c r="V329" s="254"/>
      <c r="W329" s="234"/>
      <c r="X329" s="235"/>
      <c r="Y329" s="235"/>
      <c r="Z329" s="235"/>
      <c r="AA329" s="247"/>
      <c r="AB329" s="251"/>
      <c r="AC329" s="520"/>
      <c r="AD329" s="234" t="s">
        <v>232</v>
      </c>
      <c r="AE329" s="235"/>
      <c r="AF329" s="235"/>
      <c r="AG329" s="235"/>
      <c r="AH329" s="247"/>
      <c r="AI329" s="251"/>
      <c r="AK329" s="240"/>
    </row>
    <row r="330" spans="1:37" hidden="1" x14ac:dyDescent="0.2">
      <c r="A330" s="248"/>
      <c r="B330" s="234"/>
      <c r="C330" s="235"/>
      <c r="D330" s="235"/>
      <c r="E330" s="235"/>
      <c r="F330" s="236"/>
      <c r="G330" s="239"/>
      <c r="H330" s="248"/>
      <c r="I330" s="234"/>
      <c r="J330" s="235"/>
      <c r="K330" s="235"/>
      <c r="L330" s="235"/>
      <c r="M330" s="236"/>
      <c r="N330" s="239"/>
      <c r="O330" s="253"/>
      <c r="P330" s="234"/>
      <c r="Q330" s="235"/>
      <c r="R330" s="235"/>
      <c r="S330" s="235"/>
      <c r="T330" s="236"/>
      <c r="U330" s="239"/>
      <c r="V330" s="254"/>
      <c r="W330" s="234"/>
      <c r="X330" s="235"/>
      <c r="Y330" s="235"/>
      <c r="Z330" s="235"/>
      <c r="AA330" s="247">
        <f>Y330+Z330</f>
        <v>0</v>
      </c>
      <c r="AB330" s="239"/>
      <c r="AC330" s="520"/>
      <c r="AD330" s="234" t="s">
        <v>233</v>
      </c>
      <c r="AE330" s="235"/>
      <c r="AF330" s="235"/>
      <c r="AG330" s="235"/>
      <c r="AH330" s="247"/>
      <c r="AI330" s="239"/>
      <c r="AK330" s="240"/>
    </row>
    <row r="331" spans="1:37" hidden="1" x14ac:dyDescent="0.2">
      <c r="A331" s="248"/>
      <c r="B331" s="234"/>
      <c r="C331" s="235"/>
      <c r="D331" s="235"/>
      <c r="E331" s="235"/>
      <c r="F331" s="236"/>
      <c r="G331" s="239"/>
      <c r="H331" s="248"/>
      <c r="I331" s="234"/>
      <c r="J331" s="235"/>
      <c r="K331" s="235"/>
      <c r="L331" s="235"/>
      <c r="M331" s="236"/>
      <c r="N331" s="239"/>
      <c r="O331" s="253"/>
      <c r="P331" s="234"/>
      <c r="Q331" s="235"/>
      <c r="R331" s="235"/>
      <c r="S331" s="235"/>
      <c r="T331" s="236"/>
      <c r="U331" s="239"/>
      <c r="V331" s="254"/>
      <c r="W331" s="234"/>
      <c r="X331" s="235"/>
      <c r="Y331" s="235"/>
      <c r="Z331" s="235"/>
      <c r="AA331" s="247">
        <f>Y331+Z331</f>
        <v>0</v>
      </c>
      <c r="AB331" s="239"/>
      <c r="AC331" s="520"/>
      <c r="AD331" s="234" t="s">
        <v>234</v>
      </c>
      <c r="AE331" s="235"/>
      <c r="AF331" s="235"/>
      <c r="AG331" s="235"/>
      <c r="AH331" s="247"/>
      <c r="AI331" s="239"/>
      <c r="AK331" s="240"/>
    </row>
    <row r="332" spans="1:37" hidden="1" x14ac:dyDescent="0.2">
      <c r="A332" s="248"/>
      <c r="B332" s="234"/>
      <c r="C332" s="235"/>
      <c r="D332" s="235"/>
      <c r="E332" s="235"/>
      <c r="F332" s="236"/>
      <c r="G332" s="239"/>
      <c r="H332" s="248"/>
      <c r="I332" s="234"/>
      <c r="J332" s="235"/>
      <c r="K332" s="235"/>
      <c r="L332" s="235"/>
      <c r="M332" s="236"/>
      <c r="N332" s="239"/>
      <c r="O332" s="253"/>
      <c r="P332" s="234"/>
      <c r="Q332" s="235"/>
      <c r="R332" s="235"/>
      <c r="S332" s="235"/>
      <c r="T332" s="236"/>
      <c r="U332" s="239"/>
      <c r="V332" s="254"/>
      <c r="W332" s="234"/>
      <c r="X332" s="235"/>
      <c r="Y332" s="235"/>
      <c r="Z332" s="235"/>
      <c r="AA332" s="247"/>
      <c r="AB332" s="239"/>
      <c r="AC332" s="520"/>
      <c r="AD332" s="234" t="s">
        <v>235</v>
      </c>
      <c r="AE332" s="235"/>
      <c r="AF332" s="235"/>
      <c r="AG332" s="235"/>
      <c r="AH332" s="247"/>
      <c r="AI332" s="239"/>
      <c r="AK332" s="240"/>
    </row>
    <row r="333" spans="1:37" hidden="1" x14ac:dyDescent="0.2">
      <c r="A333" s="248"/>
      <c r="B333" s="234"/>
      <c r="C333" s="235"/>
      <c r="D333" s="235"/>
      <c r="E333" s="235"/>
      <c r="F333" s="236"/>
      <c r="G333" s="239"/>
      <c r="H333" s="248"/>
      <c r="I333" s="234"/>
      <c r="J333" s="235"/>
      <c r="K333" s="235"/>
      <c r="L333" s="235"/>
      <c r="M333" s="236"/>
      <c r="N333" s="239"/>
      <c r="O333" s="253"/>
      <c r="P333" s="234"/>
      <c r="Q333" s="235"/>
      <c r="R333" s="235"/>
      <c r="S333" s="235"/>
      <c r="T333" s="236"/>
      <c r="U333" s="239"/>
      <c r="V333" s="254"/>
      <c r="W333" s="234"/>
      <c r="X333" s="235"/>
      <c r="Y333" s="235"/>
      <c r="Z333" s="235"/>
      <c r="AA333" s="247"/>
      <c r="AB333" s="239"/>
      <c r="AC333" s="521"/>
      <c r="AD333" s="234" t="s">
        <v>236</v>
      </c>
      <c r="AE333" s="235"/>
      <c r="AF333" s="235"/>
      <c r="AG333" s="235"/>
      <c r="AH333" s="247"/>
      <c r="AI333" s="239"/>
      <c r="AK333" s="240"/>
    </row>
    <row r="334" spans="1:37" hidden="1" x14ac:dyDescent="0.2">
      <c r="A334" s="248"/>
      <c r="B334" s="234"/>
      <c r="C334" s="235"/>
      <c r="D334" s="235"/>
      <c r="E334" s="235"/>
      <c r="F334" s="236"/>
      <c r="G334" s="239"/>
      <c r="H334" s="248"/>
      <c r="I334" s="234"/>
      <c r="J334" s="235"/>
      <c r="K334" s="235"/>
      <c r="L334" s="235"/>
      <c r="M334" s="236"/>
      <c r="N334" s="239"/>
      <c r="O334" s="253"/>
      <c r="P334" s="234"/>
      <c r="Q334" s="235"/>
      <c r="R334" s="235"/>
      <c r="S334" s="235"/>
      <c r="T334" s="236"/>
      <c r="U334" s="239"/>
      <c r="V334" s="254"/>
      <c r="W334" s="234"/>
      <c r="X334" s="235"/>
      <c r="Y334" s="235"/>
      <c r="Z334" s="235"/>
      <c r="AA334" s="247"/>
      <c r="AB334" s="239"/>
      <c r="AC334" s="254"/>
      <c r="AD334" s="234"/>
      <c r="AE334" s="235"/>
      <c r="AF334" s="235"/>
      <c r="AG334" s="235"/>
      <c r="AH334" s="247"/>
      <c r="AI334" s="239"/>
      <c r="AK334" s="240"/>
    </row>
    <row r="335" spans="1:37" hidden="1" x14ac:dyDescent="0.2">
      <c r="A335" s="248"/>
      <c r="B335" s="234"/>
      <c r="C335" s="235"/>
      <c r="D335" s="235"/>
      <c r="E335" s="235"/>
      <c r="F335" s="236"/>
      <c r="G335" s="239"/>
      <c r="H335" s="248"/>
      <c r="I335" s="234"/>
      <c r="J335" s="235"/>
      <c r="K335" s="235"/>
      <c r="L335" s="235"/>
      <c r="M335" s="236"/>
      <c r="N335" s="239"/>
      <c r="O335" s="253"/>
      <c r="P335" s="234"/>
      <c r="Q335" s="235"/>
      <c r="R335" s="235"/>
      <c r="S335" s="235"/>
      <c r="T335" s="236"/>
      <c r="U335" s="239"/>
      <c r="V335" s="254"/>
      <c r="W335" s="234"/>
      <c r="X335" s="235"/>
      <c r="Y335" s="235"/>
      <c r="Z335" s="235"/>
      <c r="AA335" s="247"/>
      <c r="AB335" s="239"/>
      <c r="AC335" s="254"/>
      <c r="AD335" s="234"/>
      <c r="AE335" s="235"/>
      <c r="AF335" s="235"/>
      <c r="AG335" s="235"/>
      <c r="AH335" s="247"/>
      <c r="AI335" s="239"/>
      <c r="AK335" s="240"/>
    </row>
    <row r="336" spans="1:37" x14ac:dyDescent="0.2">
      <c r="A336" s="234"/>
      <c r="B336" s="234"/>
      <c r="C336" s="220" t="s">
        <v>879</v>
      </c>
      <c r="D336" s="236">
        <f>SUM(D10:D333)</f>
        <v>2916.7148515277813</v>
      </c>
      <c r="E336" s="236">
        <f>SUM(E10:E333)</f>
        <v>1643.8643333333346</v>
      </c>
      <c r="F336" s="236">
        <f>SUM(F10:F333)</f>
        <v>4560.5791848611179</v>
      </c>
      <c r="G336" s="236">
        <f>SUM(G10:G333)</f>
        <v>2916.7148515277813</v>
      </c>
      <c r="H336" s="234"/>
      <c r="I336" s="234"/>
      <c r="J336" s="220" t="s">
        <v>879</v>
      </c>
      <c r="K336" s="236">
        <f>SUM(K10:K333)</f>
        <v>918.48478333333503</v>
      </c>
      <c r="L336" s="236">
        <f>SUM(L10:L333)</f>
        <v>910.89399999999864</v>
      </c>
      <c r="M336" s="236">
        <f>SUM(M10:M333)</f>
        <v>1829.3787833333347</v>
      </c>
      <c r="N336" s="236">
        <f>SUM(N10:N333)</f>
        <v>918.48478333333492</v>
      </c>
      <c r="O336" s="234"/>
      <c r="P336" s="234"/>
      <c r="Q336" s="220" t="s">
        <v>879</v>
      </c>
      <c r="R336" s="236">
        <f>SUM(R10:R333)</f>
        <v>792.78023611111291</v>
      </c>
      <c r="S336" s="236">
        <f>SUM(S10:S333)</f>
        <v>786.22833333333244</v>
      </c>
      <c r="T336" s="236">
        <f>SUM(T10:T333)</f>
        <v>1579.0085694444465</v>
      </c>
      <c r="U336" s="236">
        <f>SUM(U10:U333)</f>
        <v>792.78023611111303</v>
      </c>
      <c r="V336" s="234"/>
      <c r="W336" s="234"/>
      <c r="X336" s="220" t="s">
        <v>879</v>
      </c>
      <c r="Y336" s="236">
        <f>SUM(Y10:Y333)</f>
        <v>0</v>
      </c>
      <c r="Z336" s="236">
        <f>SUM(Z10:Z333)</f>
        <v>0</v>
      </c>
      <c r="AA336" s="236">
        <f>SUM(AA10:AA333)</f>
        <v>0</v>
      </c>
      <c r="AB336" s="236">
        <f>SUM(AB10:AB333)</f>
        <v>0</v>
      </c>
      <c r="AC336" s="234"/>
      <c r="AD336" s="234"/>
      <c r="AE336" s="220" t="s">
        <v>879</v>
      </c>
      <c r="AF336" s="236">
        <f>SUM(AF10:AF333)</f>
        <v>0</v>
      </c>
      <c r="AG336" s="236">
        <f>SUM(AG10:AG333)</f>
        <v>0</v>
      </c>
      <c r="AH336" s="236">
        <f>SUM(AH10:AH333)</f>
        <v>0</v>
      </c>
      <c r="AI336" s="236">
        <f>SUM(AI10:AI333)</f>
        <v>0</v>
      </c>
      <c r="AJ336" s="208" t="s">
        <v>0</v>
      </c>
      <c r="AK336" s="240">
        <f>SUM(AK10:AK335)</f>
        <v>4627.979870972229</v>
      </c>
    </row>
    <row r="337" spans="1:37" x14ac:dyDescent="0.2">
      <c r="A337" s="522" t="s">
        <v>880</v>
      </c>
      <c r="B337" s="522"/>
      <c r="C337" s="522"/>
      <c r="D337" s="255">
        <f>E337/E336</f>
        <v>1.7743038719098154</v>
      </c>
      <c r="E337" s="256">
        <f>F336-E336</f>
        <v>2916.7148515277831</v>
      </c>
      <c r="F337" s="257"/>
      <c r="G337" s="257"/>
      <c r="H337" s="522" t="s">
        <v>880</v>
      </c>
      <c r="I337" s="522"/>
      <c r="J337" s="522"/>
      <c r="K337" s="255">
        <f>L337/L336</f>
        <v>1.0083333333333377</v>
      </c>
      <c r="L337" s="256">
        <f>M336-L336</f>
        <v>918.48478333333605</v>
      </c>
      <c r="M337" s="257"/>
      <c r="N337" s="257"/>
      <c r="O337" s="522" t="s">
        <v>880</v>
      </c>
      <c r="P337" s="522"/>
      <c r="Q337" s="522"/>
      <c r="R337" s="255">
        <f>S337/S336</f>
        <v>1.0083333333333382</v>
      </c>
      <c r="S337" s="256">
        <f>T336-S336</f>
        <v>792.78023611111405</v>
      </c>
      <c r="T337" s="257"/>
      <c r="U337" s="257"/>
      <c r="V337" s="258"/>
      <c r="W337" s="258"/>
      <c r="X337" s="258"/>
      <c r="Y337" s="255" t="e">
        <f>Z337/Z336</f>
        <v>#DIV/0!</v>
      </c>
      <c r="Z337" s="256">
        <f>AA336-Z336</f>
        <v>0</v>
      </c>
      <c r="AA337" s="257"/>
      <c r="AB337" s="257"/>
      <c r="AC337" s="258"/>
      <c r="AD337" s="258"/>
      <c r="AE337" s="258"/>
      <c r="AF337" s="255" t="e">
        <f>AG337/AG336</f>
        <v>#DIV/0!</v>
      </c>
      <c r="AG337" s="256">
        <f>AH336-AG336</f>
        <v>0</v>
      </c>
      <c r="AH337" s="257"/>
      <c r="AI337" s="257"/>
    </row>
    <row r="338" spans="1:37" x14ac:dyDescent="0.2">
      <c r="S338" s="208" t="b">
        <f>S336=Q7</f>
        <v>0</v>
      </c>
    </row>
    <row r="339" spans="1:37" x14ac:dyDescent="0.2">
      <c r="S339" s="213">
        <f>Q7-S336</f>
        <v>9.0949470177292824E-13</v>
      </c>
    </row>
    <row r="340" spans="1:37" x14ac:dyDescent="0.2">
      <c r="B340" s="208" t="s">
        <v>881</v>
      </c>
      <c r="C340" s="269">
        <f>C7+J7+Q7+X7+AE7</f>
        <v>10212.843333333334</v>
      </c>
      <c r="D340" s="261"/>
      <c r="E340" s="210"/>
    </row>
    <row r="341" spans="1:37" x14ac:dyDescent="0.2">
      <c r="B341" s="208" t="s">
        <v>882</v>
      </c>
      <c r="C341" s="260">
        <f>E337+L337+S337+Z337+AG337</f>
        <v>4627.9798709722336</v>
      </c>
      <c r="D341" s="261">
        <f>G336+N336+U336</f>
        <v>4627.979870972229</v>
      </c>
      <c r="E341" s="261"/>
    </row>
    <row r="342" spans="1:37" x14ac:dyDescent="0.2">
      <c r="B342" s="208" t="s">
        <v>883</v>
      </c>
      <c r="C342" s="262">
        <f>C341/C340</f>
        <v>0.45315292910321414</v>
      </c>
      <c r="D342" s="262"/>
      <c r="F342" s="262"/>
    </row>
    <row r="343" spans="1:37" x14ac:dyDescent="0.2">
      <c r="B343" s="208" t="s">
        <v>898</v>
      </c>
      <c r="C343" s="270">
        <f>C340*1.2</f>
        <v>12255.412</v>
      </c>
    </row>
    <row r="345" spans="1:37" x14ac:dyDescent="0.2">
      <c r="D345" s="208">
        <v>2022</v>
      </c>
      <c r="E345" s="208">
        <v>2023</v>
      </c>
      <c r="F345" s="208">
        <v>2024</v>
      </c>
      <c r="G345" s="208">
        <v>2025</v>
      </c>
      <c r="H345" s="208">
        <v>2026</v>
      </c>
      <c r="I345" s="208">
        <v>2027</v>
      </c>
      <c r="J345" s="208">
        <v>2028</v>
      </c>
      <c r="K345" s="208">
        <v>2029</v>
      </c>
      <c r="L345" s="208">
        <v>2030</v>
      </c>
      <c r="M345" s="208">
        <v>2031</v>
      </c>
      <c r="N345" s="208">
        <v>2032</v>
      </c>
      <c r="O345" s="208">
        <v>2033</v>
      </c>
      <c r="P345" s="208">
        <v>2034</v>
      </c>
      <c r="Q345" s="208">
        <v>2035</v>
      </c>
      <c r="R345" s="208">
        <v>2036</v>
      </c>
      <c r="S345" s="208">
        <v>2037</v>
      </c>
      <c r="T345" s="208">
        <v>2038</v>
      </c>
      <c r="U345" s="208">
        <v>2039</v>
      </c>
      <c r="V345" s="208">
        <v>2039</v>
      </c>
      <c r="W345" s="208">
        <v>2040</v>
      </c>
      <c r="X345" s="208">
        <v>2041</v>
      </c>
      <c r="Y345" s="208">
        <v>2042</v>
      </c>
      <c r="Z345" s="208">
        <v>2043</v>
      </c>
      <c r="AA345" s="208">
        <v>2044</v>
      </c>
      <c r="AB345" s="208">
        <v>2045</v>
      </c>
      <c r="AC345" s="208">
        <v>2046</v>
      </c>
      <c r="AD345" s="208">
        <v>2047</v>
      </c>
      <c r="AE345" s="208" t="s">
        <v>884</v>
      </c>
    </row>
    <row r="346" spans="1:37" x14ac:dyDescent="0.2">
      <c r="C346" s="208" t="s">
        <v>13</v>
      </c>
      <c r="D346" s="261" t="s">
        <v>893</v>
      </c>
      <c r="E346" s="261">
        <f>G33</f>
        <v>0</v>
      </c>
      <c r="F346" s="261">
        <f>G45</f>
        <v>0</v>
      </c>
      <c r="G346" s="261">
        <f>G57</f>
        <v>1625.0834241666673</v>
      </c>
      <c r="H346" s="261">
        <f>G69</f>
        <v>1226.8756534779502</v>
      </c>
      <c r="I346" s="261">
        <f>G81</f>
        <v>15.25168884879777</v>
      </c>
      <c r="J346" s="261">
        <f>G93</f>
        <v>13.206769673539958</v>
      </c>
      <c r="K346" s="261">
        <f>G105</f>
        <v>11.161850498282156</v>
      </c>
      <c r="L346" s="261">
        <f>G117</f>
        <v>9.1169313230243603</v>
      </c>
      <c r="M346" s="261">
        <f>G129</f>
        <v>7.0720121477665616</v>
      </c>
      <c r="N346" s="261">
        <f>G141</f>
        <v>5.0270929725087576</v>
      </c>
      <c r="O346" s="261">
        <f>G153</f>
        <v>2.9821737972509523</v>
      </c>
      <c r="P346" s="261">
        <f>G165</f>
        <v>0.9372546219931509</v>
      </c>
      <c r="Q346" s="261">
        <f>G177</f>
        <v>0</v>
      </c>
      <c r="R346" s="240">
        <f>G189</f>
        <v>0</v>
      </c>
      <c r="S346" s="240">
        <f>AK213</f>
        <v>0</v>
      </c>
      <c r="T346" s="240"/>
      <c r="U346" s="240"/>
      <c r="V346" s="261">
        <f>AK237</f>
        <v>0</v>
      </c>
      <c r="W346" s="261">
        <f>AK249</f>
        <v>0</v>
      </c>
      <c r="X346" s="261">
        <f>AK261</f>
        <v>0</v>
      </c>
      <c r="Y346" s="240">
        <f>AK273</f>
        <v>0</v>
      </c>
      <c r="Z346" s="240">
        <f>AK285</f>
        <v>0</v>
      </c>
      <c r="AA346" s="261">
        <f>AK297</f>
        <v>0</v>
      </c>
      <c r="AB346" s="240">
        <f>AK309</f>
        <v>0</v>
      </c>
      <c r="AC346" s="261">
        <f>AK321</f>
        <v>0</v>
      </c>
      <c r="AD346" s="261">
        <f>AQ249</f>
        <v>0</v>
      </c>
      <c r="AE346" s="261">
        <f>SUM(D346:AD346)</f>
        <v>2916.7148515277813</v>
      </c>
      <c r="AF346" s="240" t="b">
        <f>AK336=AE346</f>
        <v>0</v>
      </c>
      <c r="AG346" s="240"/>
      <c r="AH346" s="261"/>
      <c r="AJ346" s="261">
        <f>SUM(D346:U346)</f>
        <v>2916.7148515277813</v>
      </c>
      <c r="AK346" s="261" t="b">
        <f>AJ346+AJ347=AK336</f>
        <v>1</v>
      </c>
    </row>
    <row r="347" spans="1:37" x14ac:dyDescent="0.2">
      <c r="D347" s="208" t="s">
        <v>886</v>
      </c>
      <c r="E347" s="263">
        <f>N33+U33</f>
        <v>0</v>
      </c>
      <c r="F347" s="263">
        <f>N45+U45</f>
        <v>0</v>
      </c>
      <c r="G347" s="263">
        <f>N57+U57</f>
        <v>173.82893833333338</v>
      </c>
      <c r="H347" s="263">
        <f>N69+U69</f>
        <v>155.6110583333334</v>
      </c>
      <c r="I347" s="263">
        <f>N81+U81</f>
        <v>287.43175194444456</v>
      </c>
      <c r="J347" s="263">
        <f>N93+U93</f>
        <v>253.48930527777802</v>
      </c>
      <c r="K347" s="263">
        <f>N105+U105</f>
        <v>219.54685861111147</v>
      </c>
      <c r="L347" s="263">
        <f>N117+U117</f>
        <v>185.60441194444491</v>
      </c>
      <c r="M347" s="263">
        <f>N129+U129</f>
        <v>151.66196527777825</v>
      </c>
      <c r="N347" s="263">
        <f>N141+U141</f>
        <v>117.71951861111154</v>
      </c>
      <c r="O347" s="263">
        <f>N153+U153</f>
        <v>83.77707194444487</v>
      </c>
      <c r="P347" s="263">
        <f>N165+U165</f>
        <v>49.834625277778215</v>
      </c>
      <c r="Q347" s="263">
        <f>N177+U177</f>
        <v>24.24204027777796</v>
      </c>
      <c r="R347" s="261">
        <f>N189+U189</f>
        <v>8.517473611111285</v>
      </c>
      <c r="AJ347" s="261">
        <f>SUM(D347:U347)</f>
        <v>1711.2650194444479</v>
      </c>
      <c r="AK347" s="208" t="b">
        <f>N336+U336=AJ347</f>
        <v>1</v>
      </c>
    </row>
    <row r="352" spans="1:37" x14ac:dyDescent="0.2">
      <c r="F352" s="208" t="s">
        <v>887</v>
      </c>
      <c r="G352" s="264">
        <v>0.18</v>
      </c>
    </row>
    <row r="353" spans="5:10" x14ac:dyDescent="0.2">
      <c r="E353" s="208">
        <v>2025</v>
      </c>
      <c r="F353" s="261">
        <v>2158.6948349999998</v>
      </c>
      <c r="G353" s="263">
        <v>2374.5643184999994</v>
      </c>
      <c r="H353" s="261">
        <v>-215.86948349999966</v>
      </c>
      <c r="J353" s="261">
        <v>-1709.987674083332</v>
      </c>
    </row>
    <row r="354" spans="5:10" x14ac:dyDescent="0.2">
      <c r="E354" s="208" t="s">
        <v>888</v>
      </c>
      <c r="F354" s="265">
        <v>5553.575846527765</v>
      </c>
      <c r="G354" s="265">
        <v>6108.9334311805414</v>
      </c>
      <c r="H354" s="261">
        <v>-555.3575846527765</v>
      </c>
      <c r="J354" s="261">
        <v>-9127.8351475555137</v>
      </c>
    </row>
  </sheetData>
  <mergeCells count="100">
    <mergeCell ref="A337:C337"/>
    <mergeCell ref="H337:J337"/>
    <mergeCell ref="O337:Q337"/>
    <mergeCell ref="O274:O285"/>
    <mergeCell ref="V274:V285"/>
    <mergeCell ref="V250:V261"/>
    <mergeCell ref="AC250:AC261"/>
    <mergeCell ref="V262:V273"/>
    <mergeCell ref="AC262:AC273"/>
    <mergeCell ref="AC322:AC333"/>
    <mergeCell ref="AC274:AC285"/>
    <mergeCell ref="AC286:AC297"/>
    <mergeCell ref="AC298:AC309"/>
    <mergeCell ref="AC310:AC321"/>
    <mergeCell ref="V214:V225"/>
    <mergeCell ref="AC214:AC225"/>
    <mergeCell ref="V226:V237"/>
    <mergeCell ref="AC226:AC237"/>
    <mergeCell ref="V238:V249"/>
    <mergeCell ref="AC238:AC249"/>
    <mergeCell ref="O190:O201"/>
    <mergeCell ref="V190:V201"/>
    <mergeCell ref="AC190:AC201"/>
    <mergeCell ref="V202:V213"/>
    <mergeCell ref="AC202:AC213"/>
    <mergeCell ref="V154:V165"/>
    <mergeCell ref="AC154:AC165"/>
    <mergeCell ref="O178:O189"/>
    <mergeCell ref="V178:V189"/>
    <mergeCell ref="AC178:AC189"/>
    <mergeCell ref="O166:O177"/>
    <mergeCell ref="V166:V177"/>
    <mergeCell ref="AC166:AC177"/>
    <mergeCell ref="V142:V153"/>
    <mergeCell ref="AC142:AC153"/>
    <mergeCell ref="A130:A141"/>
    <mergeCell ref="H130:H141"/>
    <mergeCell ref="O130:O141"/>
    <mergeCell ref="V130:V141"/>
    <mergeCell ref="AC130:AC141"/>
    <mergeCell ref="A154:A165"/>
    <mergeCell ref="H154:H165"/>
    <mergeCell ref="O154:O165"/>
    <mergeCell ref="A106:A117"/>
    <mergeCell ref="H106:H117"/>
    <mergeCell ref="O106:O117"/>
    <mergeCell ref="A142:A153"/>
    <mergeCell ref="H142:H153"/>
    <mergeCell ref="O142:O153"/>
    <mergeCell ref="V106:V117"/>
    <mergeCell ref="AC106:AC117"/>
    <mergeCell ref="A118:A129"/>
    <mergeCell ref="H118:H129"/>
    <mergeCell ref="O118:O129"/>
    <mergeCell ref="V118:V129"/>
    <mergeCell ref="AC118:AC129"/>
    <mergeCell ref="A82:A93"/>
    <mergeCell ref="H82:H93"/>
    <mergeCell ref="O82:O93"/>
    <mergeCell ref="V82:V93"/>
    <mergeCell ref="AC82:AC93"/>
    <mergeCell ref="A94:A105"/>
    <mergeCell ref="H94:H105"/>
    <mergeCell ref="O94:O105"/>
    <mergeCell ref="V94:V105"/>
    <mergeCell ref="AC94:AC105"/>
    <mergeCell ref="A58:A69"/>
    <mergeCell ref="H58:H69"/>
    <mergeCell ref="O58:O69"/>
    <mergeCell ref="V58:V69"/>
    <mergeCell ref="AC58:AC69"/>
    <mergeCell ref="A70:A81"/>
    <mergeCell ref="H70:H81"/>
    <mergeCell ref="O70:O81"/>
    <mergeCell ref="V70:V81"/>
    <mergeCell ref="AC70:AC81"/>
    <mergeCell ref="A34:A45"/>
    <mergeCell ref="H34:H45"/>
    <mergeCell ref="O34:O45"/>
    <mergeCell ref="V34:V45"/>
    <mergeCell ref="AC34:AC45"/>
    <mergeCell ref="A46:A57"/>
    <mergeCell ref="H46:H57"/>
    <mergeCell ref="O46:O57"/>
    <mergeCell ref="V46:V57"/>
    <mergeCell ref="AC46:AC57"/>
    <mergeCell ref="V10:V21"/>
    <mergeCell ref="AC10:AC21"/>
    <mergeCell ref="A22:A33"/>
    <mergeCell ref="H22:H33"/>
    <mergeCell ref="O22:O33"/>
    <mergeCell ref="V22:V33"/>
    <mergeCell ref="AC22:AC33"/>
    <mergeCell ref="A6:F6"/>
    <mergeCell ref="H6:M6"/>
    <mergeCell ref="O6:T6"/>
    <mergeCell ref="A8:B8"/>
    <mergeCell ref="A10:A21"/>
    <mergeCell ref="H10:H21"/>
    <mergeCell ref="O10:O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G298"/>
  <sheetViews>
    <sheetView topLeftCell="A82" workbookViewId="0">
      <selection activeCell="D122" sqref="D122:G123"/>
    </sheetView>
  </sheetViews>
  <sheetFormatPr defaultRowHeight="15" x14ac:dyDescent="0.25"/>
  <cols>
    <col min="2" max="2" width="11" customWidth="1"/>
    <col min="3" max="3" width="10.85546875" customWidth="1"/>
    <col min="4" max="4" width="11.85546875" bestFit="1" customWidth="1"/>
    <col min="5" max="5" width="10.85546875" bestFit="1" customWidth="1"/>
    <col min="6" max="6" width="12.28515625" customWidth="1"/>
    <col min="7" max="7" width="11.5703125" customWidth="1"/>
    <col min="8" max="8" width="12.5703125" customWidth="1"/>
    <col min="9" max="9" width="11" customWidth="1"/>
    <col min="10" max="10" width="10.85546875" bestFit="1" customWidth="1"/>
    <col min="11" max="11" width="11.85546875" bestFit="1" customWidth="1"/>
    <col min="12" max="12" width="10.85546875" bestFit="1" customWidth="1"/>
    <col min="13" max="13" width="12.28515625" customWidth="1"/>
    <col min="14" max="14" width="11.5703125" customWidth="1"/>
    <col min="15" max="15" width="10.85546875" bestFit="1" customWidth="1"/>
    <col min="18" max="18" width="11" customWidth="1"/>
    <col min="19" max="19" width="10.85546875" bestFit="1" customWidth="1"/>
    <col min="20" max="20" width="11.85546875" bestFit="1" customWidth="1"/>
    <col min="21" max="21" width="10.85546875" bestFit="1" customWidth="1"/>
    <col min="22" max="22" width="12.28515625" customWidth="1"/>
    <col min="23" max="23" width="11.5703125" customWidth="1"/>
    <col min="24" max="24" width="12.7109375" customWidth="1"/>
    <col min="25" max="25" width="11" customWidth="1"/>
    <col min="26" max="26" width="10.85546875" customWidth="1"/>
    <col min="27" max="27" width="11.85546875" bestFit="1" customWidth="1"/>
    <col min="28" max="28" width="12" customWidth="1"/>
    <col min="29" max="29" width="12.28515625" customWidth="1"/>
    <col min="30" max="30" width="11.5703125" customWidth="1"/>
    <col min="31" max="31" width="12.7109375" customWidth="1"/>
    <col min="32" max="32" width="12" bestFit="1" customWidth="1"/>
    <col min="237" max="237" width="11" customWidth="1"/>
    <col min="238" max="238" width="10.85546875" customWidth="1"/>
    <col min="239" max="239" width="11.85546875" bestFit="1" customWidth="1"/>
    <col min="240" max="240" width="12" customWidth="1"/>
    <col min="241" max="241" width="12.28515625" customWidth="1"/>
    <col min="242" max="242" width="11.5703125" customWidth="1"/>
    <col min="243" max="243" width="12.5703125" customWidth="1"/>
    <col min="244" max="245" width="10.85546875" bestFit="1" customWidth="1"/>
    <col min="246" max="246" width="11.85546875" bestFit="1" customWidth="1"/>
    <col min="247" max="247" width="10.85546875" bestFit="1" customWidth="1"/>
    <col min="248" max="248" width="12.28515625" customWidth="1"/>
    <col min="249" max="249" width="11.5703125" customWidth="1"/>
    <col min="250" max="250" width="10.85546875" bestFit="1" customWidth="1"/>
    <col min="253" max="253" width="11.85546875" bestFit="1" customWidth="1"/>
    <col min="254" max="255" width="12.28515625" customWidth="1"/>
    <col min="256" max="256" width="11.5703125" customWidth="1"/>
    <col min="257" max="257" width="10.85546875" bestFit="1" customWidth="1"/>
    <col min="260" max="260" width="11.85546875" bestFit="1" customWidth="1"/>
    <col min="261" max="262" width="12.28515625" customWidth="1"/>
    <col min="263" max="263" width="11.5703125" customWidth="1"/>
    <col min="264" max="264" width="10.85546875" bestFit="1" customWidth="1"/>
    <col min="267" max="267" width="11.85546875" bestFit="1" customWidth="1"/>
    <col min="268" max="269" width="12.28515625" customWidth="1"/>
    <col min="270" max="270" width="11.5703125" customWidth="1"/>
    <col min="271" max="271" width="10.85546875" bestFit="1" customWidth="1"/>
    <col min="274" max="274" width="11.85546875" bestFit="1" customWidth="1"/>
    <col min="275" max="276" width="12.28515625" customWidth="1"/>
    <col min="277" max="277" width="11.5703125" customWidth="1"/>
    <col min="278" max="278" width="10.85546875" bestFit="1" customWidth="1"/>
    <col min="493" max="493" width="11" customWidth="1"/>
    <col min="494" max="494" width="10.85546875" customWidth="1"/>
    <col min="495" max="495" width="11.85546875" bestFit="1" customWidth="1"/>
    <col min="496" max="496" width="12" customWidth="1"/>
    <col min="497" max="497" width="12.28515625" customWidth="1"/>
    <col min="498" max="498" width="11.5703125" customWidth="1"/>
    <col min="499" max="499" width="12.5703125" customWidth="1"/>
    <col min="500" max="501" width="10.85546875" bestFit="1" customWidth="1"/>
    <col min="502" max="502" width="11.85546875" bestFit="1" customWidth="1"/>
    <col min="503" max="503" width="10.85546875" bestFit="1" customWidth="1"/>
    <col min="504" max="504" width="12.28515625" customWidth="1"/>
    <col min="505" max="505" width="11.5703125" customWidth="1"/>
    <col min="506" max="506" width="10.85546875" bestFit="1" customWidth="1"/>
    <col min="509" max="509" width="11.85546875" bestFit="1" customWidth="1"/>
    <col min="510" max="511" width="12.28515625" customWidth="1"/>
    <col min="512" max="512" width="11.5703125" customWidth="1"/>
    <col min="513" max="513" width="10.85546875" bestFit="1" customWidth="1"/>
    <col min="516" max="516" width="11.85546875" bestFit="1" customWidth="1"/>
    <col min="517" max="518" width="12.28515625" customWidth="1"/>
    <col min="519" max="519" width="11.5703125" customWidth="1"/>
    <col min="520" max="520" width="10.85546875" bestFit="1" customWidth="1"/>
    <col min="523" max="523" width="11.85546875" bestFit="1" customWidth="1"/>
    <col min="524" max="525" width="12.28515625" customWidth="1"/>
    <col min="526" max="526" width="11.5703125" customWidth="1"/>
    <col min="527" max="527" width="10.85546875" bestFit="1" customWidth="1"/>
    <col min="530" max="530" width="11.85546875" bestFit="1" customWidth="1"/>
    <col min="531" max="532" width="12.28515625" customWidth="1"/>
    <col min="533" max="533" width="11.5703125" customWidth="1"/>
    <col min="534" max="534" width="10.85546875" bestFit="1" customWidth="1"/>
    <col min="749" max="749" width="11" customWidth="1"/>
    <col min="750" max="750" width="10.85546875" customWidth="1"/>
    <col min="751" max="751" width="11.85546875" bestFit="1" customWidth="1"/>
    <col min="752" max="752" width="12" customWidth="1"/>
    <col min="753" max="753" width="12.28515625" customWidth="1"/>
    <col min="754" max="754" width="11.5703125" customWidth="1"/>
    <col min="755" max="755" width="12.5703125" customWidth="1"/>
    <col min="756" max="757" width="10.85546875" bestFit="1" customWidth="1"/>
    <col min="758" max="758" width="11.85546875" bestFit="1" customWidth="1"/>
    <col min="759" max="759" width="10.85546875" bestFit="1" customWidth="1"/>
    <col min="760" max="760" width="12.28515625" customWidth="1"/>
    <col min="761" max="761" width="11.5703125" customWidth="1"/>
    <col min="762" max="762" width="10.85546875" bestFit="1" customWidth="1"/>
    <col min="765" max="765" width="11.85546875" bestFit="1" customWidth="1"/>
    <col min="766" max="767" width="12.28515625" customWidth="1"/>
    <col min="768" max="768" width="11.5703125" customWidth="1"/>
    <col min="769" max="769" width="10.85546875" bestFit="1" customWidth="1"/>
    <col min="772" max="772" width="11.85546875" bestFit="1" customWidth="1"/>
    <col min="773" max="774" width="12.28515625" customWidth="1"/>
    <col min="775" max="775" width="11.5703125" customWidth="1"/>
    <col min="776" max="776" width="10.85546875" bestFit="1" customWidth="1"/>
    <col min="779" max="779" width="11.85546875" bestFit="1" customWidth="1"/>
    <col min="780" max="781" width="12.28515625" customWidth="1"/>
    <col min="782" max="782" width="11.5703125" customWidth="1"/>
    <col min="783" max="783" width="10.85546875" bestFit="1" customWidth="1"/>
    <col min="786" max="786" width="11.85546875" bestFit="1" customWidth="1"/>
    <col min="787" max="788" width="12.28515625" customWidth="1"/>
    <col min="789" max="789" width="11.5703125" customWidth="1"/>
    <col min="790" max="790" width="10.85546875" bestFit="1" customWidth="1"/>
    <col min="1005" max="1005" width="11" customWidth="1"/>
    <col min="1006" max="1006" width="10.85546875" customWidth="1"/>
    <col min="1007" max="1007" width="11.85546875" bestFit="1" customWidth="1"/>
    <col min="1008" max="1008" width="12" customWidth="1"/>
    <col min="1009" max="1009" width="12.28515625" customWidth="1"/>
    <col min="1010" max="1010" width="11.5703125" customWidth="1"/>
    <col min="1011" max="1011" width="12.5703125" customWidth="1"/>
    <col min="1012" max="1013" width="10.85546875" bestFit="1" customWidth="1"/>
    <col min="1014" max="1014" width="11.85546875" bestFit="1" customWidth="1"/>
    <col min="1015" max="1015" width="10.85546875" bestFit="1" customWidth="1"/>
    <col min="1016" max="1016" width="12.28515625" customWidth="1"/>
    <col min="1017" max="1017" width="11.5703125" customWidth="1"/>
    <col min="1018" max="1018" width="10.85546875" bestFit="1" customWidth="1"/>
    <col min="1021" max="1021" width="11.85546875" bestFit="1" customWidth="1"/>
    <col min="1022" max="1023" width="12.28515625" customWidth="1"/>
    <col min="1024" max="1024" width="11.5703125" customWidth="1"/>
    <col min="1025" max="1025" width="10.85546875" bestFit="1" customWidth="1"/>
    <col min="1028" max="1028" width="11.85546875" bestFit="1" customWidth="1"/>
    <col min="1029" max="1030" width="12.28515625" customWidth="1"/>
    <col min="1031" max="1031" width="11.5703125" customWidth="1"/>
    <col min="1032" max="1032" width="10.85546875" bestFit="1" customWidth="1"/>
    <col min="1035" max="1035" width="11.85546875" bestFit="1" customWidth="1"/>
    <col min="1036" max="1037" width="12.28515625" customWidth="1"/>
    <col min="1038" max="1038" width="11.5703125" customWidth="1"/>
    <col min="1039" max="1039" width="10.85546875" bestFit="1" customWidth="1"/>
    <col min="1042" max="1042" width="11.85546875" bestFit="1" customWidth="1"/>
    <col min="1043" max="1044" width="12.28515625" customWidth="1"/>
    <col min="1045" max="1045" width="11.5703125" customWidth="1"/>
    <col min="1046" max="1046" width="10.85546875" bestFit="1" customWidth="1"/>
    <col min="1261" max="1261" width="11" customWidth="1"/>
    <col min="1262" max="1262" width="10.85546875" customWidth="1"/>
    <col min="1263" max="1263" width="11.85546875" bestFit="1" customWidth="1"/>
    <col min="1264" max="1264" width="12" customWidth="1"/>
    <col min="1265" max="1265" width="12.28515625" customWidth="1"/>
    <col min="1266" max="1266" width="11.5703125" customWidth="1"/>
    <col min="1267" max="1267" width="12.5703125" customWidth="1"/>
    <col min="1268" max="1269" width="10.85546875" bestFit="1" customWidth="1"/>
    <col min="1270" max="1270" width="11.85546875" bestFit="1" customWidth="1"/>
    <col min="1271" max="1271" width="10.85546875" bestFit="1" customWidth="1"/>
    <col min="1272" max="1272" width="12.28515625" customWidth="1"/>
    <col min="1273" max="1273" width="11.5703125" customWidth="1"/>
    <col min="1274" max="1274" width="10.85546875" bestFit="1" customWidth="1"/>
    <col min="1277" max="1277" width="11.85546875" bestFit="1" customWidth="1"/>
    <col min="1278" max="1279" width="12.28515625" customWidth="1"/>
    <col min="1280" max="1280" width="11.5703125" customWidth="1"/>
    <col min="1281" max="1281" width="10.85546875" bestFit="1" customWidth="1"/>
    <col min="1284" max="1284" width="11.85546875" bestFit="1" customWidth="1"/>
    <col min="1285" max="1286" width="12.28515625" customWidth="1"/>
    <col min="1287" max="1287" width="11.5703125" customWidth="1"/>
    <col min="1288" max="1288" width="10.85546875" bestFit="1" customWidth="1"/>
    <col min="1291" max="1291" width="11.85546875" bestFit="1" customWidth="1"/>
    <col min="1292" max="1293" width="12.28515625" customWidth="1"/>
    <col min="1294" max="1294" width="11.5703125" customWidth="1"/>
    <col min="1295" max="1295" width="10.85546875" bestFit="1" customWidth="1"/>
    <col min="1298" max="1298" width="11.85546875" bestFit="1" customWidth="1"/>
    <col min="1299" max="1300" width="12.28515625" customWidth="1"/>
    <col min="1301" max="1301" width="11.5703125" customWidth="1"/>
    <col min="1302" max="1302" width="10.85546875" bestFit="1" customWidth="1"/>
    <col min="1517" max="1517" width="11" customWidth="1"/>
    <col min="1518" max="1518" width="10.85546875" customWidth="1"/>
    <col min="1519" max="1519" width="11.85546875" bestFit="1" customWidth="1"/>
    <col min="1520" max="1520" width="12" customWidth="1"/>
    <col min="1521" max="1521" width="12.28515625" customWidth="1"/>
    <col min="1522" max="1522" width="11.5703125" customWidth="1"/>
    <col min="1523" max="1523" width="12.5703125" customWidth="1"/>
    <col min="1524" max="1525" width="10.85546875" bestFit="1" customWidth="1"/>
    <col min="1526" max="1526" width="11.85546875" bestFit="1" customWidth="1"/>
    <col min="1527" max="1527" width="10.85546875" bestFit="1" customWidth="1"/>
    <col min="1528" max="1528" width="12.28515625" customWidth="1"/>
    <col min="1529" max="1529" width="11.5703125" customWidth="1"/>
    <col min="1530" max="1530" width="10.85546875" bestFit="1" customWidth="1"/>
    <col min="1533" max="1533" width="11.85546875" bestFit="1" customWidth="1"/>
    <col min="1534" max="1535" width="12.28515625" customWidth="1"/>
    <col min="1536" max="1536" width="11.5703125" customWidth="1"/>
    <col min="1537" max="1537" width="10.85546875" bestFit="1" customWidth="1"/>
    <col min="1540" max="1540" width="11.85546875" bestFit="1" customWidth="1"/>
    <col min="1541" max="1542" width="12.28515625" customWidth="1"/>
    <col min="1543" max="1543" width="11.5703125" customWidth="1"/>
    <col min="1544" max="1544" width="10.85546875" bestFit="1" customWidth="1"/>
    <col min="1547" max="1547" width="11.85546875" bestFit="1" customWidth="1"/>
    <col min="1548" max="1549" width="12.28515625" customWidth="1"/>
    <col min="1550" max="1550" width="11.5703125" customWidth="1"/>
    <col min="1551" max="1551" width="10.85546875" bestFit="1" customWidth="1"/>
    <col min="1554" max="1554" width="11.85546875" bestFit="1" customWidth="1"/>
    <col min="1555" max="1556" width="12.28515625" customWidth="1"/>
    <col min="1557" max="1557" width="11.5703125" customWidth="1"/>
    <col min="1558" max="1558" width="10.85546875" bestFit="1" customWidth="1"/>
    <col min="1773" max="1773" width="11" customWidth="1"/>
    <col min="1774" max="1774" width="10.85546875" customWidth="1"/>
    <col min="1775" max="1775" width="11.85546875" bestFit="1" customWidth="1"/>
    <col min="1776" max="1776" width="12" customWidth="1"/>
    <col min="1777" max="1777" width="12.28515625" customWidth="1"/>
    <col min="1778" max="1778" width="11.5703125" customWidth="1"/>
    <col min="1779" max="1779" width="12.5703125" customWidth="1"/>
    <col min="1780" max="1781" width="10.85546875" bestFit="1" customWidth="1"/>
    <col min="1782" max="1782" width="11.85546875" bestFit="1" customWidth="1"/>
    <col min="1783" max="1783" width="10.85546875" bestFit="1" customWidth="1"/>
    <col min="1784" max="1784" width="12.28515625" customWidth="1"/>
    <col min="1785" max="1785" width="11.5703125" customWidth="1"/>
    <col min="1786" max="1786" width="10.85546875" bestFit="1" customWidth="1"/>
    <col min="1789" max="1789" width="11.85546875" bestFit="1" customWidth="1"/>
    <col min="1790" max="1791" width="12.28515625" customWidth="1"/>
    <col min="1792" max="1792" width="11.5703125" customWidth="1"/>
    <col min="1793" max="1793" width="10.85546875" bestFit="1" customWidth="1"/>
    <col min="1796" max="1796" width="11.85546875" bestFit="1" customWidth="1"/>
    <col min="1797" max="1798" width="12.28515625" customWidth="1"/>
    <col min="1799" max="1799" width="11.5703125" customWidth="1"/>
    <col min="1800" max="1800" width="10.85546875" bestFit="1" customWidth="1"/>
    <col min="1803" max="1803" width="11.85546875" bestFit="1" customWidth="1"/>
    <col min="1804" max="1805" width="12.28515625" customWidth="1"/>
    <col min="1806" max="1806" width="11.5703125" customWidth="1"/>
    <col min="1807" max="1807" width="10.85546875" bestFit="1" customWidth="1"/>
    <col min="1810" max="1810" width="11.85546875" bestFit="1" customWidth="1"/>
    <col min="1811" max="1812" width="12.28515625" customWidth="1"/>
    <col min="1813" max="1813" width="11.5703125" customWidth="1"/>
    <col min="1814" max="1814" width="10.85546875" bestFit="1" customWidth="1"/>
    <col min="2029" max="2029" width="11" customWidth="1"/>
    <col min="2030" max="2030" width="10.85546875" customWidth="1"/>
    <col min="2031" max="2031" width="11.85546875" bestFit="1" customWidth="1"/>
    <col min="2032" max="2032" width="12" customWidth="1"/>
    <col min="2033" max="2033" width="12.28515625" customWidth="1"/>
    <col min="2034" max="2034" width="11.5703125" customWidth="1"/>
    <col min="2035" max="2035" width="12.5703125" customWidth="1"/>
    <col min="2036" max="2037" width="10.85546875" bestFit="1" customWidth="1"/>
    <col min="2038" max="2038" width="11.85546875" bestFit="1" customWidth="1"/>
    <col min="2039" max="2039" width="10.85546875" bestFit="1" customWidth="1"/>
    <col min="2040" max="2040" width="12.28515625" customWidth="1"/>
    <col min="2041" max="2041" width="11.5703125" customWidth="1"/>
    <col min="2042" max="2042" width="10.85546875" bestFit="1" customWidth="1"/>
    <col min="2045" max="2045" width="11.85546875" bestFit="1" customWidth="1"/>
    <col min="2046" max="2047" width="12.28515625" customWidth="1"/>
    <col min="2048" max="2048" width="11.5703125" customWidth="1"/>
    <col min="2049" max="2049" width="10.85546875" bestFit="1" customWidth="1"/>
    <col min="2052" max="2052" width="11.85546875" bestFit="1" customWidth="1"/>
    <col min="2053" max="2054" width="12.28515625" customWidth="1"/>
    <col min="2055" max="2055" width="11.5703125" customWidth="1"/>
    <col min="2056" max="2056" width="10.85546875" bestFit="1" customWidth="1"/>
    <col min="2059" max="2059" width="11.85546875" bestFit="1" customWidth="1"/>
    <col min="2060" max="2061" width="12.28515625" customWidth="1"/>
    <col min="2062" max="2062" width="11.5703125" customWidth="1"/>
    <col min="2063" max="2063" width="10.85546875" bestFit="1" customWidth="1"/>
    <col min="2066" max="2066" width="11.85546875" bestFit="1" customWidth="1"/>
    <col min="2067" max="2068" width="12.28515625" customWidth="1"/>
    <col min="2069" max="2069" width="11.5703125" customWidth="1"/>
    <col min="2070" max="2070" width="10.85546875" bestFit="1" customWidth="1"/>
    <col min="2285" max="2285" width="11" customWidth="1"/>
    <col min="2286" max="2286" width="10.85546875" customWidth="1"/>
    <col min="2287" max="2287" width="11.85546875" bestFit="1" customWidth="1"/>
    <col min="2288" max="2288" width="12" customWidth="1"/>
    <col min="2289" max="2289" width="12.28515625" customWidth="1"/>
    <col min="2290" max="2290" width="11.5703125" customWidth="1"/>
    <col min="2291" max="2291" width="12.5703125" customWidth="1"/>
    <col min="2292" max="2293" width="10.85546875" bestFit="1" customWidth="1"/>
    <col min="2294" max="2294" width="11.85546875" bestFit="1" customWidth="1"/>
    <col min="2295" max="2295" width="10.85546875" bestFit="1" customWidth="1"/>
    <col min="2296" max="2296" width="12.28515625" customWidth="1"/>
    <col min="2297" max="2297" width="11.5703125" customWidth="1"/>
    <col min="2298" max="2298" width="10.85546875" bestFit="1" customWidth="1"/>
    <col min="2301" max="2301" width="11.85546875" bestFit="1" customWidth="1"/>
    <col min="2302" max="2303" width="12.28515625" customWidth="1"/>
    <col min="2304" max="2304" width="11.5703125" customWidth="1"/>
    <col min="2305" max="2305" width="10.85546875" bestFit="1" customWidth="1"/>
    <col min="2308" max="2308" width="11.85546875" bestFit="1" customWidth="1"/>
    <col min="2309" max="2310" width="12.28515625" customWidth="1"/>
    <col min="2311" max="2311" width="11.5703125" customWidth="1"/>
    <col min="2312" max="2312" width="10.85546875" bestFit="1" customWidth="1"/>
    <col min="2315" max="2315" width="11.85546875" bestFit="1" customWidth="1"/>
    <col min="2316" max="2317" width="12.28515625" customWidth="1"/>
    <col min="2318" max="2318" width="11.5703125" customWidth="1"/>
    <col min="2319" max="2319" width="10.85546875" bestFit="1" customWidth="1"/>
    <col min="2322" max="2322" width="11.85546875" bestFit="1" customWidth="1"/>
    <col min="2323" max="2324" width="12.28515625" customWidth="1"/>
    <col min="2325" max="2325" width="11.5703125" customWidth="1"/>
    <col min="2326" max="2326" width="10.85546875" bestFit="1" customWidth="1"/>
    <col min="2541" max="2541" width="11" customWidth="1"/>
    <col min="2542" max="2542" width="10.85546875" customWidth="1"/>
    <col min="2543" max="2543" width="11.85546875" bestFit="1" customWidth="1"/>
    <col min="2544" max="2544" width="12" customWidth="1"/>
    <col min="2545" max="2545" width="12.28515625" customWidth="1"/>
    <col min="2546" max="2546" width="11.5703125" customWidth="1"/>
    <col min="2547" max="2547" width="12.5703125" customWidth="1"/>
    <col min="2548" max="2549" width="10.85546875" bestFit="1" customWidth="1"/>
    <col min="2550" max="2550" width="11.85546875" bestFit="1" customWidth="1"/>
    <col min="2551" max="2551" width="10.85546875" bestFit="1" customWidth="1"/>
    <col min="2552" max="2552" width="12.28515625" customWidth="1"/>
    <col min="2553" max="2553" width="11.5703125" customWidth="1"/>
    <col min="2554" max="2554" width="10.85546875" bestFit="1" customWidth="1"/>
    <col min="2557" max="2557" width="11.85546875" bestFit="1" customWidth="1"/>
    <col min="2558" max="2559" width="12.28515625" customWidth="1"/>
    <col min="2560" max="2560" width="11.5703125" customWidth="1"/>
    <col min="2561" max="2561" width="10.85546875" bestFit="1" customWidth="1"/>
    <col min="2564" max="2564" width="11.85546875" bestFit="1" customWidth="1"/>
    <col min="2565" max="2566" width="12.28515625" customWidth="1"/>
    <col min="2567" max="2567" width="11.5703125" customWidth="1"/>
    <col min="2568" max="2568" width="10.85546875" bestFit="1" customWidth="1"/>
    <col min="2571" max="2571" width="11.85546875" bestFit="1" customWidth="1"/>
    <col min="2572" max="2573" width="12.28515625" customWidth="1"/>
    <col min="2574" max="2574" width="11.5703125" customWidth="1"/>
    <col min="2575" max="2575" width="10.85546875" bestFit="1" customWidth="1"/>
    <col min="2578" max="2578" width="11.85546875" bestFit="1" customWidth="1"/>
    <col min="2579" max="2580" width="12.28515625" customWidth="1"/>
    <col min="2581" max="2581" width="11.5703125" customWidth="1"/>
    <col min="2582" max="2582" width="10.85546875" bestFit="1" customWidth="1"/>
    <col min="2797" max="2797" width="11" customWidth="1"/>
    <col min="2798" max="2798" width="10.85546875" customWidth="1"/>
    <col min="2799" max="2799" width="11.85546875" bestFit="1" customWidth="1"/>
    <col min="2800" max="2800" width="12" customWidth="1"/>
    <col min="2801" max="2801" width="12.28515625" customWidth="1"/>
    <col min="2802" max="2802" width="11.5703125" customWidth="1"/>
    <col min="2803" max="2803" width="12.5703125" customWidth="1"/>
    <col min="2804" max="2805" width="10.85546875" bestFit="1" customWidth="1"/>
    <col min="2806" max="2806" width="11.85546875" bestFit="1" customWidth="1"/>
    <col min="2807" max="2807" width="10.85546875" bestFit="1" customWidth="1"/>
    <col min="2808" max="2808" width="12.28515625" customWidth="1"/>
    <col min="2809" max="2809" width="11.5703125" customWidth="1"/>
    <col min="2810" max="2810" width="10.85546875" bestFit="1" customWidth="1"/>
    <col min="2813" max="2813" width="11.85546875" bestFit="1" customWidth="1"/>
    <col min="2814" max="2815" width="12.28515625" customWidth="1"/>
    <col min="2816" max="2816" width="11.5703125" customWidth="1"/>
    <col min="2817" max="2817" width="10.85546875" bestFit="1" customWidth="1"/>
    <col min="2820" max="2820" width="11.85546875" bestFit="1" customWidth="1"/>
    <col min="2821" max="2822" width="12.28515625" customWidth="1"/>
    <col min="2823" max="2823" width="11.5703125" customWidth="1"/>
    <col min="2824" max="2824" width="10.85546875" bestFit="1" customWidth="1"/>
    <col min="2827" max="2827" width="11.85546875" bestFit="1" customWidth="1"/>
    <col min="2828" max="2829" width="12.28515625" customWidth="1"/>
    <col min="2830" max="2830" width="11.5703125" customWidth="1"/>
    <col min="2831" max="2831" width="10.85546875" bestFit="1" customWidth="1"/>
    <col min="2834" max="2834" width="11.85546875" bestFit="1" customWidth="1"/>
    <col min="2835" max="2836" width="12.28515625" customWidth="1"/>
    <col min="2837" max="2837" width="11.5703125" customWidth="1"/>
    <col min="2838" max="2838" width="10.85546875" bestFit="1" customWidth="1"/>
    <col min="3053" max="3053" width="11" customWidth="1"/>
    <col min="3054" max="3054" width="10.85546875" customWidth="1"/>
    <col min="3055" max="3055" width="11.85546875" bestFit="1" customWidth="1"/>
    <col min="3056" max="3056" width="12" customWidth="1"/>
    <col min="3057" max="3057" width="12.28515625" customWidth="1"/>
    <col min="3058" max="3058" width="11.5703125" customWidth="1"/>
    <col min="3059" max="3059" width="12.5703125" customWidth="1"/>
    <col min="3060" max="3061" width="10.85546875" bestFit="1" customWidth="1"/>
    <col min="3062" max="3062" width="11.85546875" bestFit="1" customWidth="1"/>
    <col min="3063" max="3063" width="10.85546875" bestFit="1" customWidth="1"/>
    <col min="3064" max="3064" width="12.28515625" customWidth="1"/>
    <col min="3065" max="3065" width="11.5703125" customWidth="1"/>
    <col min="3066" max="3066" width="10.85546875" bestFit="1" customWidth="1"/>
    <col min="3069" max="3069" width="11.85546875" bestFit="1" customWidth="1"/>
    <col min="3070" max="3071" width="12.28515625" customWidth="1"/>
    <col min="3072" max="3072" width="11.5703125" customWidth="1"/>
    <col min="3073" max="3073" width="10.85546875" bestFit="1" customWidth="1"/>
    <col min="3076" max="3076" width="11.85546875" bestFit="1" customWidth="1"/>
    <col min="3077" max="3078" width="12.28515625" customWidth="1"/>
    <col min="3079" max="3079" width="11.5703125" customWidth="1"/>
    <col min="3080" max="3080" width="10.85546875" bestFit="1" customWidth="1"/>
    <col min="3083" max="3083" width="11.85546875" bestFit="1" customWidth="1"/>
    <col min="3084" max="3085" width="12.28515625" customWidth="1"/>
    <col min="3086" max="3086" width="11.5703125" customWidth="1"/>
    <col min="3087" max="3087" width="10.85546875" bestFit="1" customWidth="1"/>
    <col min="3090" max="3090" width="11.85546875" bestFit="1" customWidth="1"/>
    <col min="3091" max="3092" width="12.28515625" customWidth="1"/>
    <col min="3093" max="3093" width="11.5703125" customWidth="1"/>
    <col min="3094" max="3094" width="10.85546875" bestFit="1" customWidth="1"/>
    <col min="3309" max="3309" width="11" customWidth="1"/>
    <col min="3310" max="3310" width="10.85546875" customWidth="1"/>
    <col min="3311" max="3311" width="11.85546875" bestFit="1" customWidth="1"/>
    <col min="3312" max="3312" width="12" customWidth="1"/>
    <col min="3313" max="3313" width="12.28515625" customWidth="1"/>
    <col min="3314" max="3314" width="11.5703125" customWidth="1"/>
    <col min="3315" max="3315" width="12.5703125" customWidth="1"/>
    <col min="3316" max="3317" width="10.85546875" bestFit="1" customWidth="1"/>
    <col min="3318" max="3318" width="11.85546875" bestFit="1" customWidth="1"/>
    <col min="3319" max="3319" width="10.85546875" bestFit="1" customWidth="1"/>
    <col min="3320" max="3320" width="12.28515625" customWidth="1"/>
    <col min="3321" max="3321" width="11.5703125" customWidth="1"/>
    <col min="3322" max="3322" width="10.85546875" bestFit="1" customWidth="1"/>
    <col min="3325" max="3325" width="11.85546875" bestFit="1" customWidth="1"/>
    <col min="3326" max="3327" width="12.28515625" customWidth="1"/>
    <col min="3328" max="3328" width="11.5703125" customWidth="1"/>
    <col min="3329" max="3329" width="10.85546875" bestFit="1" customWidth="1"/>
    <col min="3332" max="3332" width="11.85546875" bestFit="1" customWidth="1"/>
    <col min="3333" max="3334" width="12.28515625" customWidth="1"/>
    <col min="3335" max="3335" width="11.5703125" customWidth="1"/>
    <col min="3336" max="3336" width="10.85546875" bestFit="1" customWidth="1"/>
    <col min="3339" max="3339" width="11.85546875" bestFit="1" customWidth="1"/>
    <col min="3340" max="3341" width="12.28515625" customWidth="1"/>
    <col min="3342" max="3342" width="11.5703125" customWidth="1"/>
    <col min="3343" max="3343" width="10.85546875" bestFit="1" customWidth="1"/>
    <col min="3346" max="3346" width="11.85546875" bestFit="1" customWidth="1"/>
    <col min="3347" max="3348" width="12.28515625" customWidth="1"/>
    <col min="3349" max="3349" width="11.5703125" customWidth="1"/>
    <col min="3350" max="3350" width="10.85546875" bestFit="1" customWidth="1"/>
    <col min="3565" max="3565" width="11" customWidth="1"/>
    <col min="3566" max="3566" width="10.85546875" customWidth="1"/>
    <col min="3567" max="3567" width="11.85546875" bestFit="1" customWidth="1"/>
    <col min="3568" max="3568" width="12" customWidth="1"/>
    <col min="3569" max="3569" width="12.28515625" customWidth="1"/>
    <col min="3570" max="3570" width="11.5703125" customWidth="1"/>
    <col min="3571" max="3571" width="12.5703125" customWidth="1"/>
    <col min="3572" max="3573" width="10.85546875" bestFit="1" customWidth="1"/>
    <col min="3574" max="3574" width="11.85546875" bestFit="1" customWidth="1"/>
    <col min="3575" max="3575" width="10.85546875" bestFit="1" customWidth="1"/>
    <col min="3576" max="3576" width="12.28515625" customWidth="1"/>
    <col min="3577" max="3577" width="11.5703125" customWidth="1"/>
    <col min="3578" max="3578" width="10.85546875" bestFit="1" customWidth="1"/>
    <col min="3581" max="3581" width="11.85546875" bestFit="1" customWidth="1"/>
    <col min="3582" max="3583" width="12.28515625" customWidth="1"/>
    <col min="3584" max="3584" width="11.5703125" customWidth="1"/>
    <col min="3585" max="3585" width="10.85546875" bestFit="1" customWidth="1"/>
    <col min="3588" max="3588" width="11.85546875" bestFit="1" customWidth="1"/>
    <col min="3589" max="3590" width="12.28515625" customWidth="1"/>
    <col min="3591" max="3591" width="11.5703125" customWidth="1"/>
    <col min="3592" max="3592" width="10.85546875" bestFit="1" customWidth="1"/>
    <col min="3595" max="3595" width="11.85546875" bestFit="1" customWidth="1"/>
    <col min="3596" max="3597" width="12.28515625" customWidth="1"/>
    <col min="3598" max="3598" width="11.5703125" customWidth="1"/>
    <col min="3599" max="3599" width="10.85546875" bestFit="1" customWidth="1"/>
    <col min="3602" max="3602" width="11.85546875" bestFit="1" customWidth="1"/>
    <col min="3603" max="3604" width="12.28515625" customWidth="1"/>
    <col min="3605" max="3605" width="11.5703125" customWidth="1"/>
    <col min="3606" max="3606" width="10.85546875" bestFit="1" customWidth="1"/>
    <col min="3821" max="3821" width="11" customWidth="1"/>
    <col min="3822" max="3822" width="10.85546875" customWidth="1"/>
    <col min="3823" max="3823" width="11.85546875" bestFit="1" customWidth="1"/>
    <col min="3824" max="3824" width="12" customWidth="1"/>
    <col min="3825" max="3825" width="12.28515625" customWidth="1"/>
    <col min="3826" max="3826" width="11.5703125" customWidth="1"/>
    <col min="3827" max="3827" width="12.5703125" customWidth="1"/>
    <col min="3828" max="3829" width="10.85546875" bestFit="1" customWidth="1"/>
    <col min="3830" max="3830" width="11.85546875" bestFit="1" customWidth="1"/>
    <col min="3831" max="3831" width="10.85546875" bestFit="1" customWidth="1"/>
    <col min="3832" max="3832" width="12.28515625" customWidth="1"/>
    <col min="3833" max="3833" width="11.5703125" customWidth="1"/>
    <col min="3834" max="3834" width="10.85546875" bestFit="1" customWidth="1"/>
    <col min="3837" max="3837" width="11.85546875" bestFit="1" customWidth="1"/>
    <col min="3838" max="3839" width="12.28515625" customWidth="1"/>
    <col min="3840" max="3840" width="11.5703125" customWidth="1"/>
    <col min="3841" max="3841" width="10.85546875" bestFit="1" customWidth="1"/>
    <col min="3844" max="3844" width="11.85546875" bestFit="1" customWidth="1"/>
    <col min="3845" max="3846" width="12.28515625" customWidth="1"/>
    <col min="3847" max="3847" width="11.5703125" customWidth="1"/>
    <col min="3848" max="3848" width="10.85546875" bestFit="1" customWidth="1"/>
    <col min="3851" max="3851" width="11.85546875" bestFit="1" customWidth="1"/>
    <col min="3852" max="3853" width="12.28515625" customWidth="1"/>
    <col min="3854" max="3854" width="11.5703125" customWidth="1"/>
    <col min="3855" max="3855" width="10.85546875" bestFit="1" customWidth="1"/>
    <col min="3858" max="3858" width="11.85546875" bestFit="1" customWidth="1"/>
    <col min="3859" max="3860" width="12.28515625" customWidth="1"/>
    <col min="3861" max="3861" width="11.5703125" customWidth="1"/>
    <col min="3862" max="3862" width="10.85546875" bestFit="1" customWidth="1"/>
    <col min="4077" max="4077" width="11" customWidth="1"/>
    <col min="4078" max="4078" width="10.85546875" customWidth="1"/>
    <col min="4079" max="4079" width="11.85546875" bestFit="1" customWidth="1"/>
    <col min="4080" max="4080" width="12" customWidth="1"/>
    <col min="4081" max="4081" width="12.28515625" customWidth="1"/>
    <col min="4082" max="4082" width="11.5703125" customWidth="1"/>
    <col min="4083" max="4083" width="12.5703125" customWidth="1"/>
    <col min="4084" max="4085" width="10.85546875" bestFit="1" customWidth="1"/>
    <col min="4086" max="4086" width="11.85546875" bestFit="1" customWidth="1"/>
    <col min="4087" max="4087" width="10.85546875" bestFit="1" customWidth="1"/>
    <col min="4088" max="4088" width="12.28515625" customWidth="1"/>
    <col min="4089" max="4089" width="11.5703125" customWidth="1"/>
    <col min="4090" max="4090" width="10.85546875" bestFit="1" customWidth="1"/>
    <col min="4093" max="4093" width="11.85546875" bestFit="1" customWidth="1"/>
    <col min="4094" max="4095" width="12.28515625" customWidth="1"/>
    <col min="4096" max="4096" width="11.5703125" customWidth="1"/>
    <col min="4097" max="4097" width="10.85546875" bestFit="1" customWidth="1"/>
    <col min="4100" max="4100" width="11.85546875" bestFit="1" customWidth="1"/>
    <col min="4101" max="4102" width="12.28515625" customWidth="1"/>
    <col min="4103" max="4103" width="11.5703125" customWidth="1"/>
    <col min="4104" max="4104" width="10.85546875" bestFit="1" customWidth="1"/>
    <col min="4107" max="4107" width="11.85546875" bestFit="1" customWidth="1"/>
    <col min="4108" max="4109" width="12.28515625" customWidth="1"/>
    <col min="4110" max="4110" width="11.5703125" customWidth="1"/>
    <col min="4111" max="4111" width="10.85546875" bestFit="1" customWidth="1"/>
    <col min="4114" max="4114" width="11.85546875" bestFit="1" customWidth="1"/>
    <col min="4115" max="4116" width="12.28515625" customWidth="1"/>
    <col min="4117" max="4117" width="11.5703125" customWidth="1"/>
    <col min="4118" max="4118" width="10.85546875" bestFit="1" customWidth="1"/>
    <col min="4333" max="4333" width="11" customWidth="1"/>
    <col min="4334" max="4334" width="10.85546875" customWidth="1"/>
    <col min="4335" max="4335" width="11.85546875" bestFit="1" customWidth="1"/>
    <col min="4336" max="4336" width="12" customWidth="1"/>
    <col min="4337" max="4337" width="12.28515625" customWidth="1"/>
    <col min="4338" max="4338" width="11.5703125" customWidth="1"/>
    <col min="4339" max="4339" width="12.5703125" customWidth="1"/>
    <col min="4340" max="4341" width="10.85546875" bestFit="1" customWidth="1"/>
    <col min="4342" max="4342" width="11.85546875" bestFit="1" customWidth="1"/>
    <col min="4343" max="4343" width="10.85546875" bestFit="1" customWidth="1"/>
    <col min="4344" max="4344" width="12.28515625" customWidth="1"/>
    <col min="4345" max="4345" width="11.5703125" customWidth="1"/>
    <col min="4346" max="4346" width="10.85546875" bestFit="1" customWidth="1"/>
    <col min="4349" max="4349" width="11.85546875" bestFit="1" customWidth="1"/>
    <col min="4350" max="4351" width="12.28515625" customWidth="1"/>
    <col min="4352" max="4352" width="11.5703125" customWidth="1"/>
    <col min="4353" max="4353" width="10.85546875" bestFit="1" customWidth="1"/>
    <col min="4356" max="4356" width="11.85546875" bestFit="1" customWidth="1"/>
    <col min="4357" max="4358" width="12.28515625" customWidth="1"/>
    <col min="4359" max="4359" width="11.5703125" customWidth="1"/>
    <col min="4360" max="4360" width="10.85546875" bestFit="1" customWidth="1"/>
    <col min="4363" max="4363" width="11.85546875" bestFit="1" customWidth="1"/>
    <col min="4364" max="4365" width="12.28515625" customWidth="1"/>
    <col min="4366" max="4366" width="11.5703125" customWidth="1"/>
    <col min="4367" max="4367" width="10.85546875" bestFit="1" customWidth="1"/>
    <col min="4370" max="4370" width="11.85546875" bestFit="1" customWidth="1"/>
    <col min="4371" max="4372" width="12.28515625" customWidth="1"/>
    <col min="4373" max="4373" width="11.5703125" customWidth="1"/>
    <col min="4374" max="4374" width="10.85546875" bestFit="1" customWidth="1"/>
    <col min="4589" max="4589" width="11" customWidth="1"/>
    <col min="4590" max="4590" width="10.85546875" customWidth="1"/>
    <col min="4591" max="4591" width="11.85546875" bestFit="1" customWidth="1"/>
    <col min="4592" max="4592" width="12" customWidth="1"/>
    <col min="4593" max="4593" width="12.28515625" customWidth="1"/>
    <col min="4594" max="4594" width="11.5703125" customWidth="1"/>
    <col min="4595" max="4595" width="12.5703125" customWidth="1"/>
    <col min="4596" max="4597" width="10.85546875" bestFit="1" customWidth="1"/>
    <col min="4598" max="4598" width="11.85546875" bestFit="1" customWidth="1"/>
    <col min="4599" max="4599" width="10.85546875" bestFit="1" customWidth="1"/>
    <col min="4600" max="4600" width="12.28515625" customWidth="1"/>
    <col min="4601" max="4601" width="11.5703125" customWidth="1"/>
    <col min="4602" max="4602" width="10.85546875" bestFit="1" customWidth="1"/>
    <col min="4605" max="4605" width="11.85546875" bestFit="1" customWidth="1"/>
    <col min="4606" max="4607" width="12.28515625" customWidth="1"/>
    <col min="4608" max="4608" width="11.5703125" customWidth="1"/>
    <col min="4609" max="4609" width="10.85546875" bestFit="1" customWidth="1"/>
    <col min="4612" max="4612" width="11.85546875" bestFit="1" customWidth="1"/>
    <col min="4613" max="4614" width="12.28515625" customWidth="1"/>
    <col min="4615" max="4615" width="11.5703125" customWidth="1"/>
    <col min="4616" max="4616" width="10.85546875" bestFit="1" customWidth="1"/>
    <col min="4619" max="4619" width="11.85546875" bestFit="1" customWidth="1"/>
    <col min="4620" max="4621" width="12.28515625" customWidth="1"/>
    <col min="4622" max="4622" width="11.5703125" customWidth="1"/>
    <col min="4623" max="4623" width="10.85546875" bestFit="1" customWidth="1"/>
    <col min="4626" max="4626" width="11.85546875" bestFit="1" customWidth="1"/>
    <col min="4627" max="4628" width="12.28515625" customWidth="1"/>
    <col min="4629" max="4629" width="11.5703125" customWidth="1"/>
    <col min="4630" max="4630" width="10.85546875" bestFit="1" customWidth="1"/>
    <col min="4845" max="4845" width="11" customWidth="1"/>
    <col min="4846" max="4846" width="10.85546875" customWidth="1"/>
    <col min="4847" max="4847" width="11.85546875" bestFit="1" customWidth="1"/>
    <col min="4848" max="4848" width="12" customWidth="1"/>
    <col min="4849" max="4849" width="12.28515625" customWidth="1"/>
    <col min="4850" max="4850" width="11.5703125" customWidth="1"/>
    <col min="4851" max="4851" width="12.5703125" customWidth="1"/>
    <col min="4852" max="4853" width="10.85546875" bestFit="1" customWidth="1"/>
    <col min="4854" max="4854" width="11.85546875" bestFit="1" customWidth="1"/>
    <col min="4855" max="4855" width="10.85546875" bestFit="1" customWidth="1"/>
    <col min="4856" max="4856" width="12.28515625" customWidth="1"/>
    <col min="4857" max="4857" width="11.5703125" customWidth="1"/>
    <col min="4858" max="4858" width="10.85546875" bestFit="1" customWidth="1"/>
    <col min="4861" max="4861" width="11.85546875" bestFit="1" customWidth="1"/>
    <col min="4862" max="4863" width="12.28515625" customWidth="1"/>
    <col min="4864" max="4864" width="11.5703125" customWidth="1"/>
    <col min="4865" max="4865" width="10.85546875" bestFit="1" customWidth="1"/>
    <col min="4868" max="4868" width="11.85546875" bestFit="1" customWidth="1"/>
    <col min="4869" max="4870" width="12.28515625" customWidth="1"/>
    <col min="4871" max="4871" width="11.5703125" customWidth="1"/>
    <col min="4872" max="4872" width="10.85546875" bestFit="1" customWidth="1"/>
    <col min="4875" max="4875" width="11.85546875" bestFit="1" customWidth="1"/>
    <col min="4876" max="4877" width="12.28515625" customWidth="1"/>
    <col min="4878" max="4878" width="11.5703125" customWidth="1"/>
    <col min="4879" max="4879" width="10.85546875" bestFit="1" customWidth="1"/>
    <col min="4882" max="4882" width="11.85546875" bestFit="1" customWidth="1"/>
    <col min="4883" max="4884" width="12.28515625" customWidth="1"/>
    <col min="4885" max="4885" width="11.5703125" customWidth="1"/>
    <col min="4886" max="4886" width="10.85546875" bestFit="1" customWidth="1"/>
    <col min="5101" max="5101" width="11" customWidth="1"/>
    <col min="5102" max="5102" width="10.85546875" customWidth="1"/>
    <col min="5103" max="5103" width="11.85546875" bestFit="1" customWidth="1"/>
    <col min="5104" max="5104" width="12" customWidth="1"/>
    <col min="5105" max="5105" width="12.28515625" customWidth="1"/>
    <col min="5106" max="5106" width="11.5703125" customWidth="1"/>
    <col min="5107" max="5107" width="12.5703125" customWidth="1"/>
    <col min="5108" max="5109" width="10.85546875" bestFit="1" customWidth="1"/>
    <col min="5110" max="5110" width="11.85546875" bestFit="1" customWidth="1"/>
    <col min="5111" max="5111" width="10.85546875" bestFit="1" customWidth="1"/>
    <col min="5112" max="5112" width="12.28515625" customWidth="1"/>
    <col min="5113" max="5113" width="11.5703125" customWidth="1"/>
    <col min="5114" max="5114" width="10.85546875" bestFit="1" customWidth="1"/>
    <col min="5117" max="5117" width="11.85546875" bestFit="1" customWidth="1"/>
    <col min="5118" max="5119" width="12.28515625" customWidth="1"/>
    <col min="5120" max="5120" width="11.5703125" customWidth="1"/>
    <col min="5121" max="5121" width="10.85546875" bestFit="1" customWidth="1"/>
    <col min="5124" max="5124" width="11.85546875" bestFit="1" customWidth="1"/>
    <col min="5125" max="5126" width="12.28515625" customWidth="1"/>
    <col min="5127" max="5127" width="11.5703125" customWidth="1"/>
    <col min="5128" max="5128" width="10.85546875" bestFit="1" customWidth="1"/>
    <col min="5131" max="5131" width="11.85546875" bestFit="1" customWidth="1"/>
    <col min="5132" max="5133" width="12.28515625" customWidth="1"/>
    <col min="5134" max="5134" width="11.5703125" customWidth="1"/>
    <col min="5135" max="5135" width="10.85546875" bestFit="1" customWidth="1"/>
    <col min="5138" max="5138" width="11.85546875" bestFit="1" customWidth="1"/>
    <col min="5139" max="5140" width="12.28515625" customWidth="1"/>
    <col min="5141" max="5141" width="11.5703125" customWidth="1"/>
    <col min="5142" max="5142" width="10.85546875" bestFit="1" customWidth="1"/>
    <col min="5357" max="5357" width="11" customWidth="1"/>
    <col min="5358" max="5358" width="10.85546875" customWidth="1"/>
    <col min="5359" max="5359" width="11.85546875" bestFit="1" customWidth="1"/>
    <col min="5360" max="5360" width="12" customWidth="1"/>
    <col min="5361" max="5361" width="12.28515625" customWidth="1"/>
    <col min="5362" max="5362" width="11.5703125" customWidth="1"/>
    <col min="5363" max="5363" width="12.5703125" customWidth="1"/>
    <col min="5364" max="5365" width="10.85546875" bestFit="1" customWidth="1"/>
    <col min="5366" max="5366" width="11.85546875" bestFit="1" customWidth="1"/>
    <col min="5367" max="5367" width="10.85546875" bestFit="1" customWidth="1"/>
    <col min="5368" max="5368" width="12.28515625" customWidth="1"/>
    <col min="5369" max="5369" width="11.5703125" customWidth="1"/>
    <col min="5370" max="5370" width="10.85546875" bestFit="1" customWidth="1"/>
    <col min="5373" max="5373" width="11.85546875" bestFit="1" customWidth="1"/>
    <col min="5374" max="5375" width="12.28515625" customWidth="1"/>
    <col min="5376" max="5376" width="11.5703125" customWidth="1"/>
    <col min="5377" max="5377" width="10.85546875" bestFit="1" customWidth="1"/>
    <col min="5380" max="5380" width="11.85546875" bestFit="1" customWidth="1"/>
    <col min="5381" max="5382" width="12.28515625" customWidth="1"/>
    <col min="5383" max="5383" width="11.5703125" customWidth="1"/>
    <col min="5384" max="5384" width="10.85546875" bestFit="1" customWidth="1"/>
    <col min="5387" max="5387" width="11.85546875" bestFit="1" customWidth="1"/>
    <col min="5388" max="5389" width="12.28515625" customWidth="1"/>
    <col min="5390" max="5390" width="11.5703125" customWidth="1"/>
    <col min="5391" max="5391" width="10.85546875" bestFit="1" customWidth="1"/>
    <col min="5394" max="5394" width="11.85546875" bestFit="1" customWidth="1"/>
    <col min="5395" max="5396" width="12.28515625" customWidth="1"/>
    <col min="5397" max="5397" width="11.5703125" customWidth="1"/>
    <col min="5398" max="5398" width="10.85546875" bestFit="1" customWidth="1"/>
    <col min="5613" max="5613" width="11" customWidth="1"/>
    <col min="5614" max="5614" width="10.85546875" customWidth="1"/>
    <col min="5615" max="5615" width="11.85546875" bestFit="1" customWidth="1"/>
    <col min="5616" max="5616" width="12" customWidth="1"/>
    <col min="5617" max="5617" width="12.28515625" customWidth="1"/>
    <col min="5618" max="5618" width="11.5703125" customWidth="1"/>
    <col min="5619" max="5619" width="12.5703125" customWidth="1"/>
    <col min="5620" max="5621" width="10.85546875" bestFit="1" customWidth="1"/>
    <col min="5622" max="5622" width="11.85546875" bestFit="1" customWidth="1"/>
    <col min="5623" max="5623" width="10.85546875" bestFit="1" customWidth="1"/>
    <col min="5624" max="5624" width="12.28515625" customWidth="1"/>
    <col min="5625" max="5625" width="11.5703125" customWidth="1"/>
    <col min="5626" max="5626" width="10.85546875" bestFit="1" customWidth="1"/>
    <col min="5629" max="5629" width="11.85546875" bestFit="1" customWidth="1"/>
    <col min="5630" max="5631" width="12.28515625" customWidth="1"/>
    <col min="5632" max="5632" width="11.5703125" customWidth="1"/>
    <col min="5633" max="5633" width="10.85546875" bestFit="1" customWidth="1"/>
    <col min="5636" max="5636" width="11.85546875" bestFit="1" customWidth="1"/>
    <col min="5637" max="5638" width="12.28515625" customWidth="1"/>
    <col min="5639" max="5639" width="11.5703125" customWidth="1"/>
    <col min="5640" max="5640" width="10.85546875" bestFit="1" customWidth="1"/>
    <col min="5643" max="5643" width="11.85546875" bestFit="1" customWidth="1"/>
    <col min="5644" max="5645" width="12.28515625" customWidth="1"/>
    <col min="5646" max="5646" width="11.5703125" customWidth="1"/>
    <col min="5647" max="5647" width="10.85546875" bestFit="1" customWidth="1"/>
    <col min="5650" max="5650" width="11.85546875" bestFit="1" customWidth="1"/>
    <col min="5651" max="5652" width="12.28515625" customWidth="1"/>
    <col min="5653" max="5653" width="11.5703125" customWidth="1"/>
    <col min="5654" max="5654" width="10.85546875" bestFit="1" customWidth="1"/>
    <col min="5869" max="5869" width="11" customWidth="1"/>
    <col min="5870" max="5870" width="10.85546875" customWidth="1"/>
    <col min="5871" max="5871" width="11.85546875" bestFit="1" customWidth="1"/>
    <col min="5872" max="5872" width="12" customWidth="1"/>
    <col min="5873" max="5873" width="12.28515625" customWidth="1"/>
    <col min="5874" max="5874" width="11.5703125" customWidth="1"/>
    <col min="5875" max="5875" width="12.5703125" customWidth="1"/>
    <col min="5876" max="5877" width="10.85546875" bestFit="1" customWidth="1"/>
    <col min="5878" max="5878" width="11.85546875" bestFit="1" customWidth="1"/>
    <col min="5879" max="5879" width="10.85546875" bestFit="1" customWidth="1"/>
    <col min="5880" max="5880" width="12.28515625" customWidth="1"/>
    <col min="5881" max="5881" width="11.5703125" customWidth="1"/>
    <col min="5882" max="5882" width="10.85546875" bestFit="1" customWidth="1"/>
    <col min="5885" max="5885" width="11.85546875" bestFit="1" customWidth="1"/>
    <col min="5886" max="5887" width="12.28515625" customWidth="1"/>
    <col min="5888" max="5888" width="11.5703125" customWidth="1"/>
    <col min="5889" max="5889" width="10.85546875" bestFit="1" customWidth="1"/>
    <col min="5892" max="5892" width="11.85546875" bestFit="1" customWidth="1"/>
    <col min="5893" max="5894" width="12.28515625" customWidth="1"/>
    <col min="5895" max="5895" width="11.5703125" customWidth="1"/>
    <col min="5896" max="5896" width="10.85546875" bestFit="1" customWidth="1"/>
    <col min="5899" max="5899" width="11.85546875" bestFit="1" customWidth="1"/>
    <col min="5900" max="5901" width="12.28515625" customWidth="1"/>
    <col min="5902" max="5902" width="11.5703125" customWidth="1"/>
    <col min="5903" max="5903" width="10.85546875" bestFit="1" customWidth="1"/>
    <col min="5906" max="5906" width="11.85546875" bestFit="1" customWidth="1"/>
    <col min="5907" max="5908" width="12.28515625" customWidth="1"/>
    <col min="5909" max="5909" width="11.5703125" customWidth="1"/>
    <col min="5910" max="5910" width="10.85546875" bestFit="1" customWidth="1"/>
    <col min="6125" max="6125" width="11" customWidth="1"/>
    <col min="6126" max="6126" width="10.85546875" customWidth="1"/>
    <col min="6127" max="6127" width="11.85546875" bestFit="1" customWidth="1"/>
    <col min="6128" max="6128" width="12" customWidth="1"/>
    <col min="6129" max="6129" width="12.28515625" customWidth="1"/>
    <col min="6130" max="6130" width="11.5703125" customWidth="1"/>
    <col min="6131" max="6131" width="12.5703125" customWidth="1"/>
    <col min="6132" max="6133" width="10.85546875" bestFit="1" customWidth="1"/>
    <col min="6134" max="6134" width="11.85546875" bestFit="1" customWidth="1"/>
    <col min="6135" max="6135" width="10.85546875" bestFit="1" customWidth="1"/>
    <col min="6136" max="6136" width="12.28515625" customWidth="1"/>
    <col min="6137" max="6137" width="11.5703125" customWidth="1"/>
    <col min="6138" max="6138" width="10.85546875" bestFit="1" customWidth="1"/>
    <col min="6141" max="6141" width="11.85546875" bestFit="1" customWidth="1"/>
    <col min="6142" max="6143" width="12.28515625" customWidth="1"/>
    <col min="6144" max="6144" width="11.5703125" customWidth="1"/>
    <col min="6145" max="6145" width="10.85546875" bestFit="1" customWidth="1"/>
    <col min="6148" max="6148" width="11.85546875" bestFit="1" customWidth="1"/>
    <col min="6149" max="6150" width="12.28515625" customWidth="1"/>
    <col min="6151" max="6151" width="11.5703125" customWidth="1"/>
    <col min="6152" max="6152" width="10.85546875" bestFit="1" customWidth="1"/>
    <col min="6155" max="6155" width="11.85546875" bestFit="1" customWidth="1"/>
    <col min="6156" max="6157" width="12.28515625" customWidth="1"/>
    <col min="6158" max="6158" width="11.5703125" customWidth="1"/>
    <col min="6159" max="6159" width="10.85546875" bestFit="1" customWidth="1"/>
    <col min="6162" max="6162" width="11.85546875" bestFit="1" customWidth="1"/>
    <col min="6163" max="6164" width="12.28515625" customWidth="1"/>
    <col min="6165" max="6165" width="11.5703125" customWidth="1"/>
    <col min="6166" max="6166" width="10.85546875" bestFit="1" customWidth="1"/>
    <col min="6381" max="6381" width="11" customWidth="1"/>
    <col min="6382" max="6382" width="10.85546875" customWidth="1"/>
    <col min="6383" max="6383" width="11.85546875" bestFit="1" customWidth="1"/>
    <col min="6384" max="6384" width="12" customWidth="1"/>
    <col min="6385" max="6385" width="12.28515625" customWidth="1"/>
    <col min="6386" max="6386" width="11.5703125" customWidth="1"/>
    <col min="6387" max="6387" width="12.5703125" customWidth="1"/>
    <col min="6388" max="6389" width="10.85546875" bestFit="1" customWidth="1"/>
    <col min="6390" max="6390" width="11.85546875" bestFit="1" customWidth="1"/>
    <col min="6391" max="6391" width="10.85546875" bestFit="1" customWidth="1"/>
    <col min="6392" max="6392" width="12.28515625" customWidth="1"/>
    <col min="6393" max="6393" width="11.5703125" customWidth="1"/>
    <col min="6394" max="6394" width="10.85546875" bestFit="1" customWidth="1"/>
    <col min="6397" max="6397" width="11.85546875" bestFit="1" customWidth="1"/>
    <col min="6398" max="6399" width="12.28515625" customWidth="1"/>
    <col min="6400" max="6400" width="11.5703125" customWidth="1"/>
    <col min="6401" max="6401" width="10.85546875" bestFit="1" customWidth="1"/>
    <col min="6404" max="6404" width="11.85546875" bestFit="1" customWidth="1"/>
    <col min="6405" max="6406" width="12.28515625" customWidth="1"/>
    <col min="6407" max="6407" width="11.5703125" customWidth="1"/>
    <col min="6408" max="6408" width="10.85546875" bestFit="1" customWidth="1"/>
    <col min="6411" max="6411" width="11.85546875" bestFit="1" customWidth="1"/>
    <col min="6412" max="6413" width="12.28515625" customWidth="1"/>
    <col min="6414" max="6414" width="11.5703125" customWidth="1"/>
    <col min="6415" max="6415" width="10.85546875" bestFit="1" customWidth="1"/>
    <col min="6418" max="6418" width="11.85546875" bestFit="1" customWidth="1"/>
    <col min="6419" max="6420" width="12.28515625" customWidth="1"/>
    <col min="6421" max="6421" width="11.5703125" customWidth="1"/>
    <col min="6422" max="6422" width="10.85546875" bestFit="1" customWidth="1"/>
    <col min="6637" max="6637" width="11" customWidth="1"/>
    <col min="6638" max="6638" width="10.85546875" customWidth="1"/>
    <col min="6639" max="6639" width="11.85546875" bestFit="1" customWidth="1"/>
    <col min="6640" max="6640" width="12" customWidth="1"/>
    <col min="6641" max="6641" width="12.28515625" customWidth="1"/>
    <col min="6642" max="6642" width="11.5703125" customWidth="1"/>
    <col min="6643" max="6643" width="12.5703125" customWidth="1"/>
    <col min="6644" max="6645" width="10.85546875" bestFit="1" customWidth="1"/>
    <col min="6646" max="6646" width="11.85546875" bestFit="1" customWidth="1"/>
    <col min="6647" max="6647" width="10.85546875" bestFit="1" customWidth="1"/>
    <col min="6648" max="6648" width="12.28515625" customWidth="1"/>
    <col min="6649" max="6649" width="11.5703125" customWidth="1"/>
    <col min="6650" max="6650" width="10.85546875" bestFit="1" customWidth="1"/>
    <col min="6653" max="6653" width="11.85546875" bestFit="1" customWidth="1"/>
    <col min="6654" max="6655" width="12.28515625" customWidth="1"/>
    <col min="6656" max="6656" width="11.5703125" customWidth="1"/>
    <col min="6657" max="6657" width="10.85546875" bestFit="1" customWidth="1"/>
    <col min="6660" max="6660" width="11.85546875" bestFit="1" customWidth="1"/>
    <col min="6661" max="6662" width="12.28515625" customWidth="1"/>
    <col min="6663" max="6663" width="11.5703125" customWidth="1"/>
    <col min="6664" max="6664" width="10.85546875" bestFit="1" customWidth="1"/>
    <col min="6667" max="6667" width="11.85546875" bestFit="1" customWidth="1"/>
    <col min="6668" max="6669" width="12.28515625" customWidth="1"/>
    <col min="6670" max="6670" width="11.5703125" customWidth="1"/>
    <col min="6671" max="6671" width="10.85546875" bestFit="1" customWidth="1"/>
    <col min="6674" max="6674" width="11.85546875" bestFit="1" customWidth="1"/>
    <col min="6675" max="6676" width="12.28515625" customWidth="1"/>
    <col min="6677" max="6677" width="11.5703125" customWidth="1"/>
    <col min="6678" max="6678" width="10.85546875" bestFit="1" customWidth="1"/>
    <col min="6893" max="6893" width="11" customWidth="1"/>
    <col min="6894" max="6894" width="10.85546875" customWidth="1"/>
    <col min="6895" max="6895" width="11.85546875" bestFit="1" customWidth="1"/>
    <col min="6896" max="6896" width="12" customWidth="1"/>
    <col min="6897" max="6897" width="12.28515625" customWidth="1"/>
    <col min="6898" max="6898" width="11.5703125" customWidth="1"/>
    <col min="6899" max="6899" width="12.5703125" customWidth="1"/>
    <col min="6900" max="6901" width="10.85546875" bestFit="1" customWidth="1"/>
    <col min="6902" max="6902" width="11.85546875" bestFit="1" customWidth="1"/>
    <col min="6903" max="6903" width="10.85546875" bestFit="1" customWidth="1"/>
    <col min="6904" max="6904" width="12.28515625" customWidth="1"/>
    <col min="6905" max="6905" width="11.5703125" customWidth="1"/>
    <col min="6906" max="6906" width="10.85546875" bestFit="1" customWidth="1"/>
    <col min="6909" max="6909" width="11.85546875" bestFit="1" customWidth="1"/>
    <col min="6910" max="6911" width="12.28515625" customWidth="1"/>
    <col min="6912" max="6912" width="11.5703125" customWidth="1"/>
    <col min="6913" max="6913" width="10.85546875" bestFit="1" customWidth="1"/>
    <col min="6916" max="6916" width="11.85546875" bestFit="1" customWidth="1"/>
    <col min="6917" max="6918" width="12.28515625" customWidth="1"/>
    <col min="6919" max="6919" width="11.5703125" customWidth="1"/>
    <col min="6920" max="6920" width="10.85546875" bestFit="1" customWidth="1"/>
    <col min="6923" max="6923" width="11.85546875" bestFit="1" customWidth="1"/>
    <col min="6924" max="6925" width="12.28515625" customWidth="1"/>
    <col min="6926" max="6926" width="11.5703125" customWidth="1"/>
    <col min="6927" max="6927" width="10.85546875" bestFit="1" customWidth="1"/>
    <col min="6930" max="6930" width="11.85546875" bestFit="1" customWidth="1"/>
    <col min="6931" max="6932" width="12.28515625" customWidth="1"/>
    <col min="6933" max="6933" width="11.5703125" customWidth="1"/>
    <col min="6934" max="6934" width="10.85546875" bestFit="1" customWidth="1"/>
    <col min="7149" max="7149" width="11" customWidth="1"/>
    <col min="7150" max="7150" width="10.85546875" customWidth="1"/>
    <col min="7151" max="7151" width="11.85546875" bestFit="1" customWidth="1"/>
    <col min="7152" max="7152" width="12" customWidth="1"/>
    <col min="7153" max="7153" width="12.28515625" customWidth="1"/>
    <col min="7154" max="7154" width="11.5703125" customWidth="1"/>
    <col min="7155" max="7155" width="12.5703125" customWidth="1"/>
    <col min="7156" max="7157" width="10.85546875" bestFit="1" customWidth="1"/>
    <col min="7158" max="7158" width="11.85546875" bestFit="1" customWidth="1"/>
    <col min="7159" max="7159" width="10.85546875" bestFit="1" customWidth="1"/>
    <col min="7160" max="7160" width="12.28515625" customWidth="1"/>
    <col min="7161" max="7161" width="11.5703125" customWidth="1"/>
    <col min="7162" max="7162" width="10.85546875" bestFit="1" customWidth="1"/>
    <col min="7165" max="7165" width="11.85546875" bestFit="1" customWidth="1"/>
    <col min="7166" max="7167" width="12.28515625" customWidth="1"/>
    <col min="7168" max="7168" width="11.5703125" customWidth="1"/>
    <col min="7169" max="7169" width="10.85546875" bestFit="1" customWidth="1"/>
    <col min="7172" max="7172" width="11.85546875" bestFit="1" customWidth="1"/>
    <col min="7173" max="7174" width="12.28515625" customWidth="1"/>
    <col min="7175" max="7175" width="11.5703125" customWidth="1"/>
    <col min="7176" max="7176" width="10.85546875" bestFit="1" customWidth="1"/>
    <col min="7179" max="7179" width="11.85546875" bestFit="1" customWidth="1"/>
    <col min="7180" max="7181" width="12.28515625" customWidth="1"/>
    <col min="7182" max="7182" width="11.5703125" customWidth="1"/>
    <col min="7183" max="7183" width="10.85546875" bestFit="1" customWidth="1"/>
    <col min="7186" max="7186" width="11.85546875" bestFit="1" customWidth="1"/>
    <col min="7187" max="7188" width="12.28515625" customWidth="1"/>
    <col min="7189" max="7189" width="11.5703125" customWidth="1"/>
    <col min="7190" max="7190" width="10.85546875" bestFit="1" customWidth="1"/>
    <col min="7405" max="7405" width="11" customWidth="1"/>
    <col min="7406" max="7406" width="10.85546875" customWidth="1"/>
    <col min="7407" max="7407" width="11.85546875" bestFit="1" customWidth="1"/>
    <col min="7408" max="7408" width="12" customWidth="1"/>
    <col min="7409" max="7409" width="12.28515625" customWidth="1"/>
    <col min="7410" max="7410" width="11.5703125" customWidth="1"/>
    <col min="7411" max="7411" width="12.5703125" customWidth="1"/>
    <col min="7412" max="7413" width="10.85546875" bestFit="1" customWidth="1"/>
    <col min="7414" max="7414" width="11.85546875" bestFit="1" customWidth="1"/>
    <col min="7415" max="7415" width="10.85546875" bestFit="1" customWidth="1"/>
    <col min="7416" max="7416" width="12.28515625" customWidth="1"/>
    <col min="7417" max="7417" width="11.5703125" customWidth="1"/>
    <col min="7418" max="7418" width="10.85546875" bestFit="1" customWidth="1"/>
    <col min="7421" max="7421" width="11.85546875" bestFit="1" customWidth="1"/>
    <col min="7422" max="7423" width="12.28515625" customWidth="1"/>
    <col min="7424" max="7424" width="11.5703125" customWidth="1"/>
    <col min="7425" max="7425" width="10.85546875" bestFit="1" customWidth="1"/>
    <col min="7428" max="7428" width="11.85546875" bestFit="1" customWidth="1"/>
    <col min="7429" max="7430" width="12.28515625" customWidth="1"/>
    <col min="7431" max="7431" width="11.5703125" customWidth="1"/>
    <col min="7432" max="7432" width="10.85546875" bestFit="1" customWidth="1"/>
    <col min="7435" max="7435" width="11.85546875" bestFit="1" customWidth="1"/>
    <col min="7436" max="7437" width="12.28515625" customWidth="1"/>
    <col min="7438" max="7438" width="11.5703125" customWidth="1"/>
    <col min="7439" max="7439" width="10.85546875" bestFit="1" customWidth="1"/>
    <col min="7442" max="7442" width="11.85546875" bestFit="1" customWidth="1"/>
    <col min="7443" max="7444" width="12.28515625" customWidth="1"/>
    <col min="7445" max="7445" width="11.5703125" customWidth="1"/>
    <col min="7446" max="7446" width="10.85546875" bestFit="1" customWidth="1"/>
    <col min="7661" max="7661" width="11" customWidth="1"/>
    <col min="7662" max="7662" width="10.85546875" customWidth="1"/>
    <col min="7663" max="7663" width="11.85546875" bestFit="1" customWidth="1"/>
    <col min="7664" max="7664" width="12" customWidth="1"/>
    <col min="7665" max="7665" width="12.28515625" customWidth="1"/>
    <col min="7666" max="7666" width="11.5703125" customWidth="1"/>
    <col min="7667" max="7667" width="12.5703125" customWidth="1"/>
    <col min="7668" max="7669" width="10.85546875" bestFit="1" customWidth="1"/>
    <col min="7670" max="7670" width="11.85546875" bestFit="1" customWidth="1"/>
    <col min="7671" max="7671" width="10.85546875" bestFit="1" customWidth="1"/>
    <col min="7672" max="7672" width="12.28515625" customWidth="1"/>
    <col min="7673" max="7673" width="11.5703125" customWidth="1"/>
    <col min="7674" max="7674" width="10.85546875" bestFit="1" customWidth="1"/>
    <col min="7677" max="7677" width="11.85546875" bestFit="1" customWidth="1"/>
    <col min="7678" max="7679" width="12.28515625" customWidth="1"/>
    <col min="7680" max="7680" width="11.5703125" customWidth="1"/>
    <col min="7681" max="7681" width="10.85546875" bestFit="1" customWidth="1"/>
    <col min="7684" max="7684" width="11.85546875" bestFit="1" customWidth="1"/>
    <col min="7685" max="7686" width="12.28515625" customWidth="1"/>
    <col min="7687" max="7687" width="11.5703125" customWidth="1"/>
    <col min="7688" max="7688" width="10.85546875" bestFit="1" customWidth="1"/>
    <col min="7691" max="7691" width="11.85546875" bestFit="1" customWidth="1"/>
    <col min="7692" max="7693" width="12.28515625" customWidth="1"/>
    <col min="7694" max="7694" width="11.5703125" customWidth="1"/>
    <col min="7695" max="7695" width="10.85546875" bestFit="1" customWidth="1"/>
    <col min="7698" max="7698" width="11.85546875" bestFit="1" customWidth="1"/>
    <col min="7699" max="7700" width="12.28515625" customWidth="1"/>
    <col min="7701" max="7701" width="11.5703125" customWidth="1"/>
    <col min="7702" max="7702" width="10.85546875" bestFit="1" customWidth="1"/>
    <col min="7917" max="7917" width="11" customWidth="1"/>
    <col min="7918" max="7918" width="10.85546875" customWidth="1"/>
    <col min="7919" max="7919" width="11.85546875" bestFit="1" customWidth="1"/>
    <col min="7920" max="7920" width="12" customWidth="1"/>
    <col min="7921" max="7921" width="12.28515625" customWidth="1"/>
    <col min="7922" max="7922" width="11.5703125" customWidth="1"/>
    <col min="7923" max="7923" width="12.5703125" customWidth="1"/>
    <col min="7924" max="7925" width="10.85546875" bestFit="1" customWidth="1"/>
    <col min="7926" max="7926" width="11.85546875" bestFit="1" customWidth="1"/>
    <col min="7927" max="7927" width="10.85546875" bestFit="1" customWidth="1"/>
    <col min="7928" max="7928" width="12.28515625" customWidth="1"/>
    <col min="7929" max="7929" width="11.5703125" customWidth="1"/>
    <col min="7930" max="7930" width="10.85546875" bestFit="1" customWidth="1"/>
    <col min="7933" max="7933" width="11.85546875" bestFit="1" customWidth="1"/>
    <col min="7934" max="7935" width="12.28515625" customWidth="1"/>
    <col min="7936" max="7936" width="11.5703125" customWidth="1"/>
    <col min="7937" max="7937" width="10.85546875" bestFit="1" customWidth="1"/>
    <col min="7940" max="7940" width="11.85546875" bestFit="1" customWidth="1"/>
    <col min="7941" max="7942" width="12.28515625" customWidth="1"/>
    <col min="7943" max="7943" width="11.5703125" customWidth="1"/>
    <col min="7944" max="7944" width="10.85546875" bestFit="1" customWidth="1"/>
    <col min="7947" max="7947" width="11.85546875" bestFit="1" customWidth="1"/>
    <col min="7948" max="7949" width="12.28515625" customWidth="1"/>
    <col min="7950" max="7950" width="11.5703125" customWidth="1"/>
    <col min="7951" max="7951" width="10.85546875" bestFit="1" customWidth="1"/>
    <col min="7954" max="7954" width="11.85546875" bestFit="1" customWidth="1"/>
    <col min="7955" max="7956" width="12.28515625" customWidth="1"/>
    <col min="7957" max="7957" width="11.5703125" customWidth="1"/>
    <col min="7958" max="7958" width="10.85546875" bestFit="1" customWidth="1"/>
    <col min="8173" max="8173" width="11" customWidth="1"/>
    <col min="8174" max="8174" width="10.85546875" customWidth="1"/>
    <col min="8175" max="8175" width="11.85546875" bestFit="1" customWidth="1"/>
    <col min="8176" max="8176" width="12" customWidth="1"/>
    <col min="8177" max="8177" width="12.28515625" customWidth="1"/>
    <col min="8178" max="8178" width="11.5703125" customWidth="1"/>
    <col min="8179" max="8179" width="12.5703125" customWidth="1"/>
    <col min="8180" max="8181" width="10.85546875" bestFit="1" customWidth="1"/>
    <col min="8182" max="8182" width="11.85546875" bestFit="1" customWidth="1"/>
    <col min="8183" max="8183" width="10.85546875" bestFit="1" customWidth="1"/>
    <col min="8184" max="8184" width="12.28515625" customWidth="1"/>
    <col min="8185" max="8185" width="11.5703125" customWidth="1"/>
    <col min="8186" max="8186" width="10.85546875" bestFit="1" customWidth="1"/>
    <col min="8189" max="8189" width="11.85546875" bestFit="1" customWidth="1"/>
    <col min="8190" max="8191" width="12.28515625" customWidth="1"/>
    <col min="8192" max="8192" width="11.5703125" customWidth="1"/>
    <col min="8193" max="8193" width="10.85546875" bestFit="1" customWidth="1"/>
    <col min="8196" max="8196" width="11.85546875" bestFit="1" customWidth="1"/>
    <col min="8197" max="8198" width="12.28515625" customWidth="1"/>
    <col min="8199" max="8199" width="11.5703125" customWidth="1"/>
    <col min="8200" max="8200" width="10.85546875" bestFit="1" customWidth="1"/>
    <col min="8203" max="8203" width="11.85546875" bestFit="1" customWidth="1"/>
    <col min="8204" max="8205" width="12.28515625" customWidth="1"/>
    <col min="8206" max="8206" width="11.5703125" customWidth="1"/>
    <col min="8207" max="8207" width="10.85546875" bestFit="1" customWidth="1"/>
    <col min="8210" max="8210" width="11.85546875" bestFit="1" customWidth="1"/>
    <col min="8211" max="8212" width="12.28515625" customWidth="1"/>
    <col min="8213" max="8213" width="11.5703125" customWidth="1"/>
    <col min="8214" max="8214" width="10.85546875" bestFit="1" customWidth="1"/>
    <col min="8429" max="8429" width="11" customWidth="1"/>
    <col min="8430" max="8430" width="10.85546875" customWidth="1"/>
    <col min="8431" max="8431" width="11.85546875" bestFit="1" customWidth="1"/>
    <col min="8432" max="8432" width="12" customWidth="1"/>
    <col min="8433" max="8433" width="12.28515625" customWidth="1"/>
    <col min="8434" max="8434" width="11.5703125" customWidth="1"/>
    <col min="8435" max="8435" width="12.5703125" customWidth="1"/>
    <col min="8436" max="8437" width="10.85546875" bestFit="1" customWidth="1"/>
    <col min="8438" max="8438" width="11.85546875" bestFit="1" customWidth="1"/>
    <col min="8439" max="8439" width="10.85546875" bestFit="1" customWidth="1"/>
    <col min="8440" max="8440" width="12.28515625" customWidth="1"/>
    <col min="8441" max="8441" width="11.5703125" customWidth="1"/>
    <col min="8442" max="8442" width="10.85546875" bestFit="1" customWidth="1"/>
    <col min="8445" max="8445" width="11.85546875" bestFit="1" customWidth="1"/>
    <col min="8446" max="8447" width="12.28515625" customWidth="1"/>
    <col min="8448" max="8448" width="11.5703125" customWidth="1"/>
    <col min="8449" max="8449" width="10.85546875" bestFit="1" customWidth="1"/>
    <col min="8452" max="8452" width="11.85546875" bestFit="1" customWidth="1"/>
    <col min="8453" max="8454" width="12.28515625" customWidth="1"/>
    <col min="8455" max="8455" width="11.5703125" customWidth="1"/>
    <col min="8456" max="8456" width="10.85546875" bestFit="1" customWidth="1"/>
    <col min="8459" max="8459" width="11.85546875" bestFit="1" customWidth="1"/>
    <col min="8460" max="8461" width="12.28515625" customWidth="1"/>
    <col min="8462" max="8462" width="11.5703125" customWidth="1"/>
    <col min="8463" max="8463" width="10.85546875" bestFit="1" customWidth="1"/>
    <col min="8466" max="8466" width="11.85546875" bestFit="1" customWidth="1"/>
    <col min="8467" max="8468" width="12.28515625" customWidth="1"/>
    <col min="8469" max="8469" width="11.5703125" customWidth="1"/>
    <col min="8470" max="8470" width="10.85546875" bestFit="1" customWidth="1"/>
    <col min="8685" max="8685" width="11" customWidth="1"/>
    <col min="8686" max="8686" width="10.85546875" customWidth="1"/>
    <col min="8687" max="8687" width="11.85546875" bestFit="1" customWidth="1"/>
    <col min="8688" max="8688" width="12" customWidth="1"/>
    <col min="8689" max="8689" width="12.28515625" customWidth="1"/>
    <col min="8690" max="8690" width="11.5703125" customWidth="1"/>
    <col min="8691" max="8691" width="12.5703125" customWidth="1"/>
    <col min="8692" max="8693" width="10.85546875" bestFit="1" customWidth="1"/>
    <col min="8694" max="8694" width="11.85546875" bestFit="1" customWidth="1"/>
    <col min="8695" max="8695" width="10.85546875" bestFit="1" customWidth="1"/>
    <col min="8696" max="8696" width="12.28515625" customWidth="1"/>
    <col min="8697" max="8697" width="11.5703125" customWidth="1"/>
    <col min="8698" max="8698" width="10.85546875" bestFit="1" customWidth="1"/>
    <col min="8701" max="8701" width="11.85546875" bestFit="1" customWidth="1"/>
    <col min="8702" max="8703" width="12.28515625" customWidth="1"/>
    <col min="8704" max="8704" width="11.5703125" customWidth="1"/>
    <col min="8705" max="8705" width="10.85546875" bestFit="1" customWidth="1"/>
    <col min="8708" max="8708" width="11.85546875" bestFit="1" customWidth="1"/>
    <col min="8709" max="8710" width="12.28515625" customWidth="1"/>
    <col min="8711" max="8711" width="11.5703125" customWidth="1"/>
    <col min="8712" max="8712" width="10.85546875" bestFit="1" customWidth="1"/>
    <col min="8715" max="8715" width="11.85546875" bestFit="1" customWidth="1"/>
    <col min="8716" max="8717" width="12.28515625" customWidth="1"/>
    <col min="8718" max="8718" width="11.5703125" customWidth="1"/>
    <col min="8719" max="8719" width="10.85546875" bestFit="1" customWidth="1"/>
    <col min="8722" max="8722" width="11.85546875" bestFit="1" customWidth="1"/>
    <col min="8723" max="8724" width="12.28515625" customWidth="1"/>
    <col min="8725" max="8725" width="11.5703125" customWidth="1"/>
    <col min="8726" max="8726" width="10.85546875" bestFit="1" customWidth="1"/>
    <col min="8941" max="8941" width="11" customWidth="1"/>
    <col min="8942" max="8942" width="10.85546875" customWidth="1"/>
    <col min="8943" max="8943" width="11.85546875" bestFit="1" customWidth="1"/>
    <col min="8944" max="8944" width="12" customWidth="1"/>
    <col min="8945" max="8945" width="12.28515625" customWidth="1"/>
    <col min="8946" max="8946" width="11.5703125" customWidth="1"/>
    <col min="8947" max="8947" width="12.5703125" customWidth="1"/>
    <col min="8948" max="8949" width="10.85546875" bestFit="1" customWidth="1"/>
    <col min="8950" max="8950" width="11.85546875" bestFit="1" customWidth="1"/>
    <col min="8951" max="8951" width="10.85546875" bestFit="1" customWidth="1"/>
    <col min="8952" max="8952" width="12.28515625" customWidth="1"/>
    <col min="8953" max="8953" width="11.5703125" customWidth="1"/>
    <col min="8954" max="8954" width="10.85546875" bestFit="1" customWidth="1"/>
    <col min="8957" max="8957" width="11.85546875" bestFit="1" customWidth="1"/>
    <col min="8958" max="8959" width="12.28515625" customWidth="1"/>
    <col min="8960" max="8960" width="11.5703125" customWidth="1"/>
    <col min="8961" max="8961" width="10.85546875" bestFit="1" customWidth="1"/>
    <col min="8964" max="8964" width="11.85546875" bestFit="1" customWidth="1"/>
    <col min="8965" max="8966" width="12.28515625" customWidth="1"/>
    <col min="8967" max="8967" width="11.5703125" customWidth="1"/>
    <col min="8968" max="8968" width="10.85546875" bestFit="1" customWidth="1"/>
    <col min="8971" max="8971" width="11.85546875" bestFit="1" customWidth="1"/>
    <col min="8972" max="8973" width="12.28515625" customWidth="1"/>
    <col min="8974" max="8974" width="11.5703125" customWidth="1"/>
    <col min="8975" max="8975" width="10.85546875" bestFit="1" customWidth="1"/>
    <col min="8978" max="8978" width="11.85546875" bestFit="1" customWidth="1"/>
    <col min="8979" max="8980" width="12.28515625" customWidth="1"/>
    <col min="8981" max="8981" width="11.5703125" customWidth="1"/>
    <col min="8982" max="8982" width="10.85546875" bestFit="1" customWidth="1"/>
    <col min="9197" max="9197" width="11" customWidth="1"/>
    <col min="9198" max="9198" width="10.85546875" customWidth="1"/>
    <col min="9199" max="9199" width="11.85546875" bestFit="1" customWidth="1"/>
    <col min="9200" max="9200" width="12" customWidth="1"/>
    <col min="9201" max="9201" width="12.28515625" customWidth="1"/>
    <col min="9202" max="9202" width="11.5703125" customWidth="1"/>
    <col min="9203" max="9203" width="12.5703125" customWidth="1"/>
    <col min="9204" max="9205" width="10.85546875" bestFit="1" customWidth="1"/>
    <col min="9206" max="9206" width="11.85546875" bestFit="1" customWidth="1"/>
    <col min="9207" max="9207" width="10.85546875" bestFit="1" customWidth="1"/>
    <col min="9208" max="9208" width="12.28515625" customWidth="1"/>
    <col min="9209" max="9209" width="11.5703125" customWidth="1"/>
    <col min="9210" max="9210" width="10.85546875" bestFit="1" customWidth="1"/>
    <col min="9213" max="9213" width="11.85546875" bestFit="1" customWidth="1"/>
    <col min="9214" max="9215" width="12.28515625" customWidth="1"/>
    <col min="9216" max="9216" width="11.5703125" customWidth="1"/>
    <col min="9217" max="9217" width="10.85546875" bestFit="1" customWidth="1"/>
    <col min="9220" max="9220" width="11.85546875" bestFit="1" customWidth="1"/>
    <col min="9221" max="9222" width="12.28515625" customWidth="1"/>
    <col min="9223" max="9223" width="11.5703125" customWidth="1"/>
    <col min="9224" max="9224" width="10.85546875" bestFit="1" customWidth="1"/>
    <col min="9227" max="9227" width="11.85546875" bestFit="1" customWidth="1"/>
    <col min="9228" max="9229" width="12.28515625" customWidth="1"/>
    <col min="9230" max="9230" width="11.5703125" customWidth="1"/>
    <col min="9231" max="9231" width="10.85546875" bestFit="1" customWidth="1"/>
    <col min="9234" max="9234" width="11.85546875" bestFit="1" customWidth="1"/>
    <col min="9235" max="9236" width="12.28515625" customWidth="1"/>
    <col min="9237" max="9237" width="11.5703125" customWidth="1"/>
    <col min="9238" max="9238" width="10.85546875" bestFit="1" customWidth="1"/>
    <col min="9453" max="9453" width="11" customWidth="1"/>
    <col min="9454" max="9454" width="10.85546875" customWidth="1"/>
    <col min="9455" max="9455" width="11.85546875" bestFit="1" customWidth="1"/>
    <col min="9456" max="9456" width="12" customWidth="1"/>
    <col min="9457" max="9457" width="12.28515625" customWidth="1"/>
    <col min="9458" max="9458" width="11.5703125" customWidth="1"/>
    <col min="9459" max="9459" width="12.5703125" customWidth="1"/>
    <col min="9460" max="9461" width="10.85546875" bestFit="1" customWidth="1"/>
    <col min="9462" max="9462" width="11.85546875" bestFit="1" customWidth="1"/>
    <col min="9463" max="9463" width="10.85546875" bestFit="1" customWidth="1"/>
    <col min="9464" max="9464" width="12.28515625" customWidth="1"/>
    <col min="9465" max="9465" width="11.5703125" customWidth="1"/>
    <col min="9466" max="9466" width="10.85546875" bestFit="1" customWidth="1"/>
    <col min="9469" max="9469" width="11.85546875" bestFit="1" customWidth="1"/>
    <col min="9470" max="9471" width="12.28515625" customWidth="1"/>
    <col min="9472" max="9472" width="11.5703125" customWidth="1"/>
    <col min="9473" max="9473" width="10.85546875" bestFit="1" customWidth="1"/>
    <col min="9476" max="9476" width="11.85546875" bestFit="1" customWidth="1"/>
    <col min="9477" max="9478" width="12.28515625" customWidth="1"/>
    <col min="9479" max="9479" width="11.5703125" customWidth="1"/>
    <col min="9480" max="9480" width="10.85546875" bestFit="1" customWidth="1"/>
    <col min="9483" max="9483" width="11.85546875" bestFit="1" customWidth="1"/>
    <col min="9484" max="9485" width="12.28515625" customWidth="1"/>
    <col min="9486" max="9486" width="11.5703125" customWidth="1"/>
    <col min="9487" max="9487" width="10.85546875" bestFit="1" customWidth="1"/>
    <col min="9490" max="9490" width="11.85546875" bestFit="1" customWidth="1"/>
    <col min="9491" max="9492" width="12.28515625" customWidth="1"/>
    <col min="9493" max="9493" width="11.5703125" customWidth="1"/>
    <col min="9494" max="9494" width="10.85546875" bestFit="1" customWidth="1"/>
    <col min="9709" max="9709" width="11" customWidth="1"/>
    <col min="9710" max="9710" width="10.85546875" customWidth="1"/>
    <col min="9711" max="9711" width="11.85546875" bestFit="1" customWidth="1"/>
    <col min="9712" max="9712" width="12" customWidth="1"/>
    <col min="9713" max="9713" width="12.28515625" customWidth="1"/>
    <col min="9714" max="9714" width="11.5703125" customWidth="1"/>
    <col min="9715" max="9715" width="12.5703125" customWidth="1"/>
    <col min="9716" max="9717" width="10.85546875" bestFit="1" customWidth="1"/>
    <col min="9718" max="9718" width="11.85546875" bestFit="1" customWidth="1"/>
    <col min="9719" max="9719" width="10.85546875" bestFit="1" customWidth="1"/>
    <col min="9720" max="9720" width="12.28515625" customWidth="1"/>
    <col min="9721" max="9721" width="11.5703125" customWidth="1"/>
    <col min="9722" max="9722" width="10.85546875" bestFit="1" customWidth="1"/>
    <col min="9725" max="9725" width="11.85546875" bestFit="1" customWidth="1"/>
    <col min="9726" max="9727" width="12.28515625" customWidth="1"/>
    <col min="9728" max="9728" width="11.5703125" customWidth="1"/>
    <col min="9729" max="9729" width="10.85546875" bestFit="1" customWidth="1"/>
    <col min="9732" max="9732" width="11.85546875" bestFit="1" customWidth="1"/>
    <col min="9733" max="9734" width="12.28515625" customWidth="1"/>
    <col min="9735" max="9735" width="11.5703125" customWidth="1"/>
    <col min="9736" max="9736" width="10.85546875" bestFit="1" customWidth="1"/>
    <col min="9739" max="9739" width="11.85546875" bestFit="1" customWidth="1"/>
    <col min="9740" max="9741" width="12.28515625" customWidth="1"/>
    <col min="9742" max="9742" width="11.5703125" customWidth="1"/>
    <col min="9743" max="9743" width="10.85546875" bestFit="1" customWidth="1"/>
    <col min="9746" max="9746" width="11.85546875" bestFit="1" customWidth="1"/>
    <col min="9747" max="9748" width="12.28515625" customWidth="1"/>
    <col min="9749" max="9749" width="11.5703125" customWidth="1"/>
    <col min="9750" max="9750" width="10.85546875" bestFit="1" customWidth="1"/>
    <col min="9965" max="9965" width="11" customWidth="1"/>
    <col min="9966" max="9966" width="10.85546875" customWidth="1"/>
    <col min="9967" max="9967" width="11.85546875" bestFit="1" customWidth="1"/>
    <col min="9968" max="9968" width="12" customWidth="1"/>
    <col min="9969" max="9969" width="12.28515625" customWidth="1"/>
    <col min="9970" max="9970" width="11.5703125" customWidth="1"/>
    <col min="9971" max="9971" width="12.5703125" customWidth="1"/>
    <col min="9972" max="9973" width="10.85546875" bestFit="1" customWidth="1"/>
    <col min="9974" max="9974" width="11.85546875" bestFit="1" customWidth="1"/>
    <col min="9975" max="9975" width="10.85546875" bestFit="1" customWidth="1"/>
    <col min="9976" max="9976" width="12.28515625" customWidth="1"/>
    <col min="9977" max="9977" width="11.5703125" customWidth="1"/>
    <col min="9978" max="9978" width="10.85546875" bestFit="1" customWidth="1"/>
    <col min="9981" max="9981" width="11.85546875" bestFit="1" customWidth="1"/>
    <col min="9982" max="9983" width="12.28515625" customWidth="1"/>
    <col min="9984" max="9984" width="11.5703125" customWidth="1"/>
    <col min="9985" max="9985" width="10.85546875" bestFit="1" customWidth="1"/>
    <col min="9988" max="9988" width="11.85546875" bestFit="1" customWidth="1"/>
    <col min="9989" max="9990" width="12.28515625" customWidth="1"/>
    <col min="9991" max="9991" width="11.5703125" customWidth="1"/>
    <col min="9992" max="9992" width="10.85546875" bestFit="1" customWidth="1"/>
    <col min="9995" max="9995" width="11.85546875" bestFit="1" customWidth="1"/>
    <col min="9996" max="9997" width="12.28515625" customWidth="1"/>
    <col min="9998" max="9998" width="11.5703125" customWidth="1"/>
    <col min="9999" max="9999" width="10.85546875" bestFit="1" customWidth="1"/>
    <col min="10002" max="10002" width="11.85546875" bestFit="1" customWidth="1"/>
    <col min="10003" max="10004" width="12.28515625" customWidth="1"/>
    <col min="10005" max="10005" width="11.5703125" customWidth="1"/>
    <col min="10006" max="10006" width="10.85546875" bestFit="1" customWidth="1"/>
    <col min="10221" max="10221" width="11" customWidth="1"/>
    <col min="10222" max="10222" width="10.85546875" customWidth="1"/>
    <col min="10223" max="10223" width="11.85546875" bestFit="1" customWidth="1"/>
    <col min="10224" max="10224" width="12" customWidth="1"/>
    <col min="10225" max="10225" width="12.28515625" customWidth="1"/>
    <col min="10226" max="10226" width="11.5703125" customWidth="1"/>
    <col min="10227" max="10227" width="12.5703125" customWidth="1"/>
    <col min="10228" max="10229" width="10.85546875" bestFit="1" customWidth="1"/>
    <col min="10230" max="10230" width="11.85546875" bestFit="1" customWidth="1"/>
    <col min="10231" max="10231" width="10.85546875" bestFit="1" customWidth="1"/>
    <col min="10232" max="10232" width="12.28515625" customWidth="1"/>
    <col min="10233" max="10233" width="11.5703125" customWidth="1"/>
    <col min="10234" max="10234" width="10.85546875" bestFit="1" customWidth="1"/>
    <col min="10237" max="10237" width="11.85546875" bestFit="1" customWidth="1"/>
    <col min="10238" max="10239" width="12.28515625" customWidth="1"/>
    <col min="10240" max="10240" width="11.5703125" customWidth="1"/>
    <col min="10241" max="10241" width="10.85546875" bestFit="1" customWidth="1"/>
    <col min="10244" max="10244" width="11.85546875" bestFit="1" customWidth="1"/>
    <col min="10245" max="10246" width="12.28515625" customWidth="1"/>
    <col min="10247" max="10247" width="11.5703125" customWidth="1"/>
    <col min="10248" max="10248" width="10.85546875" bestFit="1" customWidth="1"/>
    <col min="10251" max="10251" width="11.85546875" bestFit="1" customWidth="1"/>
    <col min="10252" max="10253" width="12.28515625" customWidth="1"/>
    <col min="10254" max="10254" width="11.5703125" customWidth="1"/>
    <col min="10255" max="10255" width="10.85546875" bestFit="1" customWidth="1"/>
    <col min="10258" max="10258" width="11.85546875" bestFit="1" customWidth="1"/>
    <col min="10259" max="10260" width="12.28515625" customWidth="1"/>
    <col min="10261" max="10261" width="11.5703125" customWidth="1"/>
    <col min="10262" max="10262" width="10.85546875" bestFit="1" customWidth="1"/>
    <col min="10477" max="10477" width="11" customWidth="1"/>
    <col min="10478" max="10478" width="10.85546875" customWidth="1"/>
    <col min="10479" max="10479" width="11.85546875" bestFit="1" customWidth="1"/>
    <col min="10480" max="10480" width="12" customWidth="1"/>
    <col min="10481" max="10481" width="12.28515625" customWidth="1"/>
    <col min="10482" max="10482" width="11.5703125" customWidth="1"/>
    <col min="10483" max="10483" width="12.5703125" customWidth="1"/>
    <col min="10484" max="10485" width="10.85546875" bestFit="1" customWidth="1"/>
    <col min="10486" max="10486" width="11.85546875" bestFit="1" customWidth="1"/>
    <col min="10487" max="10487" width="10.85546875" bestFit="1" customWidth="1"/>
    <col min="10488" max="10488" width="12.28515625" customWidth="1"/>
    <col min="10489" max="10489" width="11.5703125" customWidth="1"/>
    <col min="10490" max="10490" width="10.85546875" bestFit="1" customWidth="1"/>
    <col min="10493" max="10493" width="11.85546875" bestFit="1" customWidth="1"/>
    <col min="10494" max="10495" width="12.28515625" customWidth="1"/>
    <col min="10496" max="10496" width="11.5703125" customWidth="1"/>
    <col min="10497" max="10497" width="10.85546875" bestFit="1" customWidth="1"/>
    <col min="10500" max="10500" width="11.85546875" bestFit="1" customWidth="1"/>
    <col min="10501" max="10502" width="12.28515625" customWidth="1"/>
    <col min="10503" max="10503" width="11.5703125" customWidth="1"/>
    <col min="10504" max="10504" width="10.85546875" bestFit="1" customWidth="1"/>
    <col min="10507" max="10507" width="11.85546875" bestFit="1" customWidth="1"/>
    <col min="10508" max="10509" width="12.28515625" customWidth="1"/>
    <col min="10510" max="10510" width="11.5703125" customWidth="1"/>
    <col min="10511" max="10511" width="10.85546875" bestFit="1" customWidth="1"/>
    <col min="10514" max="10514" width="11.85546875" bestFit="1" customWidth="1"/>
    <col min="10515" max="10516" width="12.28515625" customWidth="1"/>
    <col min="10517" max="10517" width="11.5703125" customWidth="1"/>
    <col min="10518" max="10518" width="10.85546875" bestFit="1" customWidth="1"/>
    <col min="10733" max="10733" width="11" customWidth="1"/>
    <col min="10734" max="10734" width="10.85546875" customWidth="1"/>
    <col min="10735" max="10735" width="11.85546875" bestFit="1" customWidth="1"/>
    <col min="10736" max="10736" width="12" customWidth="1"/>
    <col min="10737" max="10737" width="12.28515625" customWidth="1"/>
    <col min="10738" max="10738" width="11.5703125" customWidth="1"/>
    <col min="10739" max="10739" width="12.5703125" customWidth="1"/>
    <col min="10740" max="10741" width="10.85546875" bestFit="1" customWidth="1"/>
    <col min="10742" max="10742" width="11.85546875" bestFit="1" customWidth="1"/>
    <col min="10743" max="10743" width="10.85546875" bestFit="1" customWidth="1"/>
    <col min="10744" max="10744" width="12.28515625" customWidth="1"/>
    <col min="10745" max="10745" width="11.5703125" customWidth="1"/>
    <col min="10746" max="10746" width="10.85546875" bestFit="1" customWidth="1"/>
    <col min="10749" max="10749" width="11.85546875" bestFit="1" customWidth="1"/>
    <col min="10750" max="10751" width="12.28515625" customWidth="1"/>
    <col min="10752" max="10752" width="11.5703125" customWidth="1"/>
    <col min="10753" max="10753" width="10.85546875" bestFit="1" customWidth="1"/>
    <col min="10756" max="10756" width="11.85546875" bestFit="1" customWidth="1"/>
    <col min="10757" max="10758" width="12.28515625" customWidth="1"/>
    <col min="10759" max="10759" width="11.5703125" customWidth="1"/>
    <col min="10760" max="10760" width="10.85546875" bestFit="1" customWidth="1"/>
    <col min="10763" max="10763" width="11.85546875" bestFit="1" customWidth="1"/>
    <col min="10764" max="10765" width="12.28515625" customWidth="1"/>
    <col min="10766" max="10766" width="11.5703125" customWidth="1"/>
    <col min="10767" max="10767" width="10.85546875" bestFit="1" customWidth="1"/>
    <col min="10770" max="10770" width="11.85546875" bestFit="1" customWidth="1"/>
    <col min="10771" max="10772" width="12.28515625" customWidth="1"/>
    <col min="10773" max="10773" width="11.5703125" customWidth="1"/>
    <col min="10774" max="10774" width="10.85546875" bestFit="1" customWidth="1"/>
    <col min="10989" max="10989" width="11" customWidth="1"/>
    <col min="10990" max="10990" width="10.85546875" customWidth="1"/>
    <col min="10991" max="10991" width="11.85546875" bestFit="1" customWidth="1"/>
    <col min="10992" max="10992" width="12" customWidth="1"/>
    <col min="10993" max="10993" width="12.28515625" customWidth="1"/>
    <col min="10994" max="10994" width="11.5703125" customWidth="1"/>
    <col min="10995" max="10995" width="12.5703125" customWidth="1"/>
    <col min="10996" max="10997" width="10.85546875" bestFit="1" customWidth="1"/>
    <col min="10998" max="10998" width="11.85546875" bestFit="1" customWidth="1"/>
    <col min="10999" max="10999" width="10.85546875" bestFit="1" customWidth="1"/>
    <col min="11000" max="11000" width="12.28515625" customWidth="1"/>
    <col min="11001" max="11001" width="11.5703125" customWidth="1"/>
    <col min="11002" max="11002" width="10.85546875" bestFit="1" customWidth="1"/>
    <col min="11005" max="11005" width="11.85546875" bestFit="1" customWidth="1"/>
    <col min="11006" max="11007" width="12.28515625" customWidth="1"/>
    <col min="11008" max="11008" width="11.5703125" customWidth="1"/>
    <col min="11009" max="11009" width="10.85546875" bestFit="1" customWidth="1"/>
    <col min="11012" max="11012" width="11.85546875" bestFit="1" customWidth="1"/>
    <col min="11013" max="11014" width="12.28515625" customWidth="1"/>
    <col min="11015" max="11015" width="11.5703125" customWidth="1"/>
    <col min="11016" max="11016" width="10.85546875" bestFit="1" customWidth="1"/>
    <col min="11019" max="11019" width="11.85546875" bestFit="1" customWidth="1"/>
    <col min="11020" max="11021" width="12.28515625" customWidth="1"/>
    <col min="11022" max="11022" width="11.5703125" customWidth="1"/>
    <col min="11023" max="11023" width="10.85546875" bestFit="1" customWidth="1"/>
    <col min="11026" max="11026" width="11.85546875" bestFit="1" customWidth="1"/>
    <col min="11027" max="11028" width="12.28515625" customWidth="1"/>
    <col min="11029" max="11029" width="11.5703125" customWidth="1"/>
    <col min="11030" max="11030" width="10.85546875" bestFit="1" customWidth="1"/>
    <col min="11245" max="11245" width="11" customWidth="1"/>
    <col min="11246" max="11246" width="10.85546875" customWidth="1"/>
    <col min="11247" max="11247" width="11.85546875" bestFit="1" customWidth="1"/>
    <col min="11248" max="11248" width="12" customWidth="1"/>
    <col min="11249" max="11249" width="12.28515625" customWidth="1"/>
    <col min="11250" max="11250" width="11.5703125" customWidth="1"/>
    <col min="11251" max="11251" width="12.5703125" customWidth="1"/>
    <col min="11252" max="11253" width="10.85546875" bestFit="1" customWidth="1"/>
    <col min="11254" max="11254" width="11.85546875" bestFit="1" customWidth="1"/>
    <col min="11255" max="11255" width="10.85546875" bestFit="1" customWidth="1"/>
    <col min="11256" max="11256" width="12.28515625" customWidth="1"/>
    <col min="11257" max="11257" width="11.5703125" customWidth="1"/>
    <col min="11258" max="11258" width="10.85546875" bestFit="1" customWidth="1"/>
    <col min="11261" max="11261" width="11.85546875" bestFit="1" customWidth="1"/>
    <col min="11262" max="11263" width="12.28515625" customWidth="1"/>
    <col min="11264" max="11264" width="11.5703125" customWidth="1"/>
    <col min="11265" max="11265" width="10.85546875" bestFit="1" customWidth="1"/>
    <col min="11268" max="11268" width="11.85546875" bestFit="1" customWidth="1"/>
    <col min="11269" max="11270" width="12.28515625" customWidth="1"/>
    <col min="11271" max="11271" width="11.5703125" customWidth="1"/>
    <col min="11272" max="11272" width="10.85546875" bestFit="1" customWidth="1"/>
    <col min="11275" max="11275" width="11.85546875" bestFit="1" customWidth="1"/>
    <col min="11276" max="11277" width="12.28515625" customWidth="1"/>
    <col min="11278" max="11278" width="11.5703125" customWidth="1"/>
    <col min="11279" max="11279" width="10.85546875" bestFit="1" customWidth="1"/>
    <col min="11282" max="11282" width="11.85546875" bestFit="1" customWidth="1"/>
    <col min="11283" max="11284" width="12.28515625" customWidth="1"/>
    <col min="11285" max="11285" width="11.5703125" customWidth="1"/>
    <col min="11286" max="11286" width="10.85546875" bestFit="1" customWidth="1"/>
    <col min="11501" max="11501" width="11" customWidth="1"/>
    <col min="11502" max="11502" width="10.85546875" customWidth="1"/>
    <col min="11503" max="11503" width="11.85546875" bestFit="1" customWidth="1"/>
    <col min="11504" max="11504" width="12" customWidth="1"/>
    <col min="11505" max="11505" width="12.28515625" customWidth="1"/>
    <col min="11506" max="11506" width="11.5703125" customWidth="1"/>
    <col min="11507" max="11507" width="12.5703125" customWidth="1"/>
    <col min="11508" max="11509" width="10.85546875" bestFit="1" customWidth="1"/>
    <col min="11510" max="11510" width="11.85546875" bestFit="1" customWidth="1"/>
    <col min="11511" max="11511" width="10.85546875" bestFit="1" customWidth="1"/>
    <col min="11512" max="11512" width="12.28515625" customWidth="1"/>
    <col min="11513" max="11513" width="11.5703125" customWidth="1"/>
    <col min="11514" max="11514" width="10.85546875" bestFit="1" customWidth="1"/>
    <col min="11517" max="11517" width="11.85546875" bestFit="1" customWidth="1"/>
    <col min="11518" max="11519" width="12.28515625" customWidth="1"/>
    <col min="11520" max="11520" width="11.5703125" customWidth="1"/>
    <col min="11521" max="11521" width="10.85546875" bestFit="1" customWidth="1"/>
    <col min="11524" max="11524" width="11.85546875" bestFit="1" customWidth="1"/>
    <col min="11525" max="11526" width="12.28515625" customWidth="1"/>
    <col min="11527" max="11527" width="11.5703125" customWidth="1"/>
    <col min="11528" max="11528" width="10.85546875" bestFit="1" customWidth="1"/>
    <col min="11531" max="11531" width="11.85546875" bestFit="1" customWidth="1"/>
    <col min="11532" max="11533" width="12.28515625" customWidth="1"/>
    <col min="11534" max="11534" width="11.5703125" customWidth="1"/>
    <col min="11535" max="11535" width="10.85546875" bestFit="1" customWidth="1"/>
    <col min="11538" max="11538" width="11.85546875" bestFit="1" customWidth="1"/>
    <col min="11539" max="11540" width="12.28515625" customWidth="1"/>
    <col min="11541" max="11541" width="11.5703125" customWidth="1"/>
    <col min="11542" max="11542" width="10.85546875" bestFit="1" customWidth="1"/>
    <col min="11757" max="11757" width="11" customWidth="1"/>
    <col min="11758" max="11758" width="10.85546875" customWidth="1"/>
    <col min="11759" max="11759" width="11.85546875" bestFit="1" customWidth="1"/>
    <col min="11760" max="11760" width="12" customWidth="1"/>
    <col min="11761" max="11761" width="12.28515625" customWidth="1"/>
    <col min="11762" max="11762" width="11.5703125" customWidth="1"/>
    <col min="11763" max="11763" width="12.5703125" customWidth="1"/>
    <col min="11764" max="11765" width="10.85546875" bestFit="1" customWidth="1"/>
    <col min="11766" max="11766" width="11.85546875" bestFit="1" customWidth="1"/>
    <col min="11767" max="11767" width="10.85546875" bestFit="1" customWidth="1"/>
    <col min="11768" max="11768" width="12.28515625" customWidth="1"/>
    <col min="11769" max="11769" width="11.5703125" customWidth="1"/>
    <col min="11770" max="11770" width="10.85546875" bestFit="1" customWidth="1"/>
    <col min="11773" max="11773" width="11.85546875" bestFit="1" customWidth="1"/>
    <col min="11774" max="11775" width="12.28515625" customWidth="1"/>
    <col min="11776" max="11776" width="11.5703125" customWidth="1"/>
    <col min="11777" max="11777" width="10.85546875" bestFit="1" customWidth="1"/>
    <col min="11780" max="11780" width="11.85546875" bestFit="1" customWidth="1"/>
    <col min="11781" max="11782" width="12.28515625" customWidth="1"/>
    <col min="11783" max="11783" width="11.5703125" customWidth="1"/>
    <col min="11784" max="11784" width="10.85546875" bestFit="1" customWidth="1"/>
    <col min="11787" max="11787" width="11.85546875" bestFit="1" customWidth="1"/>
    <col min="11788" max="11789" width="12.28515625" customWidth="1"/>
    <col min="11790" max="11790" width="11.5703125" customWidth="1"/>
    <col min="11791" max="11791" width="10.85546875" bestFit="1" customWidth="1"/>
    <col min="11794" max="11794" width="11.85546875" bestFit="1" customWidth="1"/>
    <col min="11795" max="11796" width="12.28515625" customWidth="1"/>
    <col min="11797" max="11797" width="11.5703125" customWidth="1"/>
    <col min="11798" max="11798" width="10.85546875" bestFit="1" customWidth="1"/>
    <col min="12013" max="12013" width="11" customWidth="1"/>
    <col min="12014" max="12014" width="10.85546875" customWidth="1"/>
    <col min="12015" max="12015" width="11.85546875" bestFit="1" customWidth="1"/>
    <col min="12016" max="12016" width="12" customWidth="1"/>
    <col min="12017" max="12017" width="12.28515625" customWidth="1"/>
    <col min="12018" max="12018" width="11.5703125" customWidth="1"/>
    <col min="12019" max="12019" width="12.5703125" customWidth="1"/>
    <col min="12020" max="12021" width="10.85546875" bestFit="1" customWidth="1"/>
    <col min="12022" max="12022" width="11.85546875" bestFit="1" customWidth="1"/>
    <col min="12023" max="12023" width="10.85546875" bestFit="1" customWidth="1"/>
    <col min="12024" max="12024" width="12.28515625" customWidth="1"/>
    <col min="12025" max="12025" width="11.5703125" customWidth="1"/>
    <col min="12026" max="12026" width="10.85546875" bestFit="1" customWidth="1"/>
    <col min="12029" max="12029" width="11.85546875" bestFit="1" customWidth="1"/>
    <col min="12030" max="12031" width="12.28515625" customWidth="1"/>
    <col min="12032" max="12032" width="11.5703125" customWidth="1"/>
    <col min="12033" max="12033" width="10.85546875" bestFit="1" customWidth="1"/>
    <col min="12036" max="12036" width="11.85546875" bestFit="1" customWidth="1"/>
    <col min="12037" max="12038" width="12.28515625" customWidth="1"/>
    <col min="12039" max="12039" width="11.5703125" customWidth="1"/>
    <col min="12040" max="12040" width="10.85546875" bestFit="1" customWidth="1"/>
    <col min="12043" max="12043" width="11.85546875" bestFit="1" customWidth="1"/>
    <col min="12044" max="12045" width="12.28515625" customWidth="1"/>
    <col min="12046" max="12046" width="11.5703125" customWidth="1"/>
    <col min="12047" max="12047" width="10.85546875" bestFit="1" customWidth="1"/>
    <col min="12050" max="12050" width="11.85546875" bestFit="1" customWidth="1"/>
    <col min="12051" max="12052" width="12.28515625" customWidth="1"/>
    <col min="12053" max="12053" width="11.5703125" customWidth="1"/>
    <col min="12054" max="12054" width="10.85546875" bestFit="1" customWidth="1"/>
    <col min="12269" max="12269" width="11" customWidth="1"/>
    <col min="12270" max="12270" width="10.85546875" customWidth="1"/>
    <col min="12271" max="12271" width="11.85546875" bestFit="1" customWidth="1"/>
    <col min="12272" max="12272" width="12" customWidth="1"/>
    <col min="12273" max="12273" width="12.28515625" customWidth="1"/>
    <col min="12274" max="12274" width="11.5703125" customWidth="1"/>
    <col min="12275" max="12275" width="12.5703125" customWidth="1"/>
    <col min="12276" max="12277" width="10.85546875" bestFit="1" customWidth="1"/>
    <col min="12278" max="12278" width="11.85546875" bestFit="1" customWidth="1"/>
    <col min="12279" max="12279" width="10.85546875" bestFit="1" customWidth="1"/>
    <col min="12280" max="12280" width="12.28515625" customWidth="1"/>
    <col min="12281" max="12281" width="11.5703125" customWidth="1"/>
    <col min="12282" max="12282" width="10.85546875" bestFit="1" customWidth="1"/>
    <col min="12285" max="12285" width="11.85546875" bestFit="1" customWidth="1"/>
    <col min="12286" max="12287" width="12.28515625" customWidth="1"/>
    <col min="12288" max="12288" width="11.5703125" customWidth="1"/>
    <col min="12289" max="12289" width="10.85546875" bestFit="1" customWidth="1"/>
    <col min="12292" max="12292" width="11.85546875" bestFit="1" customWidth="1"/>
    <col min="12293" max="12294" width="12.28515625" customWidth="1"/>
    <col min="12295" max="12295" width="11.5703125" customWidth="1"/>
    <col min="12296" max="12296" width="10.85546875" bestFit="1" customWidth="1"/>
    <col min="12299" max="12299" width="11.85546875" bestFit="1" customWidth="1"/>
    <col min="12300" max="12301" width="12.28515625" customWidth="1"/>
    <col min="12302" max="12302" width="11.5703125" customWidth="1"/>
    <col min="12303" max="12303" width="10.85546875" bestFit="1" customWidth="1"/>
    <col min="12306" max="12306" width="11.85546875" bestFit="1" customWidth="1"/>
    <col min="12307" max="12308" width="12.28515625" customWidth="1"/>
    <col min="12309" max="12309" width="11.5703125" customWidth="1"/>
    <col min="12310" max="12310" width="10.85546875" bestFit="1" customWidth="1"/>
    <col min="12525" max="12525" width="11" customWidth="1"/>
    <col min="12526" max="12526" width="10.85546875" customWidth="1"/>
    <col min="12527" max="12527" width="11.85546875" bestFit="1" customWidth="1"/>
    <col min="12528" max="12528" width="12" customWidth="1"/>
    <col min="12529" max="12529" width="12.28515625" customWidth="1"/>
    <col min="12530" max="12530" width="11.5703125" customWidth="1"/>
    <col min="12531" max="12531" width="12.5703125" customWidth="1"/>
    <col min="12532" max="12533" width="10.85546875" bestFit="1" customWidth="1"/>
    <col min="12534" max="12534" width="11.85546875" bestFit="1" customWidth="1"/>
    <col min="12535" max="12535" width="10.85546875" bestFit="1" customWidth="1"/>
    <col min="12536" max="12536" width="12.28515625" customWidth="1"/>
    <col min="12537" max="12537" width="11.5703125" customWidth="1"/>
    <col min="12538" max="12538" width="10.85546875" bestFit="1" customWidth="1"/>
    <col min="12541" max="12541" width="11.85546875" bestFit="1" customWidth="1"/>
    <col min="12542" max="12543" width="12.28515625" customWidth="1"/>
    <col min="12544" max="12544" width="11.5703125" customWidth="1"/>
    <col min="12545" max="12545" width="10.85546875" bestFit="1" customWidth="1"/>
    <col min="12548" max="12548" width="11.85546875" bestFit="1" customWidth="1"/>
    <col min="12549" max="12550" width="12.28515625" customWidth="1"/>
    <col min="12551" max="12551" width="11.5703125" customWidth="1"/>
    <col min="12552" max="12552" width="10.85546875" bestFit="1" customWidth="1"/>
    <col min="12555" max="12555" width="11.85546875" bestFit="1" customWidth="1"/>
    <col min="12556" max="12557" width="12.28515625" customWidth="1"/>
    <col min="12558" max="12558" width="11.5703125" customWidth="1"/>
    <col min="12559" max="12559" width="10.85546875" bestFit="1" customWidth="1"/>
    <col min="12562" max="12562" width="11.85546875" bestFit="1" customWidth="1"/>
    <col min="12563" max="12564" width="12.28515625" customWidth="1"/>
    <col min="12565" max="12565" width="11.5703125" customWidth="1"/>
    <col min="12566" max="12566" width="10.85546875" bestFit="1" customWidth="1"/>
    <col min="12781" max="12781" width="11" customWidth="1"/>
    <col min="12782" max="12782" width="10.85546875" customWidth="1"/>
    <col min="12783" max="12783" width="11.85546875" bestFit="1" customWidth="1"/>
    <col min="12784" max="12784" width="12" customWidth="1"/>
    <col min="12785" max="12785" width="12.28515625" customWidth="1"/>
    <col min="12786" max="12786" width="11.5703125" customWidth="1"/>
    <col min="12787" max="12787" width="12.5703125" customWidth="1"/>
    <col min="12788" max="12789" width="10.85546875" bestFit="1" customWidth="1"/>
    <col min="12790" max="12790" width="11.85546875" bestFit="1" customWidth="1"/>
    <col min="12791" max="12791" width="10.85546875" bestFit="1" customWidth="1"/>
    <col min="12792" max="12792" width="12.28515625" customWidth="1"/>
    <col min="12793" max="12793" width="11.5703125" customWidth="1"/>
    <col min="12794" max="12794" width="10.85546875" bestFit="1" customWidth="1"/>
    <col min="12797" max="12797" width="11.85546875" bestFit="1" customWidth="1"/>
    <col min="12798" max="12799" width="12.28515625" customWidth="1"/>
    <col min="12800" max="12800" width="11.5703125" customWidth="1"/>
    <col min="12801" max="12801" width="10.85546875" bestFit="1" customWidth="1"/>
    <col min="12804" max="12804" width="11.85546875" bestFit="1" customWidth="1"/>
    <col min="12805" max="12806" width="12.28515625" customWidth="1"/>
    <col min="12807" max="12807" width="11.5703125" customWidth="1"/>
    <col min="12808" max="12808" width="10.85546875" bestFit="1" customWidth="1"/>
    <col min="12811" max="12811" width="11.85546875" bestFit="1" customWidth="1"/>
    <col min="12812" max="12813" width="12.28515625" customWidth="1"/>
    <col min="12814" max="12814" width="11.5703125" customWidth="1"/>
    <col min="12815" max="12815" width="10.85546875" bestFit="1" customWidth="1"/>
    <col min="12818" max="12818" width="11.85546875" bestFit="1" customWidth="1"/>
    <col min="12819" max="12820" width="12.28515625" customWidth="1"/>
    <col min="12821" max="12821" width="11.5703125" customWidth="1"/>
    <col min="12822" max="12822" width="10.85546875" bestFit="1" customWidth="1"/>
    <col min="13037" max="13037" width="11" customWidth="1"/>
    <col min="13038" max="13038" width="10.85546875" customWidth="1"/>
    <col min="13039" max="13039" width="11.85546875" bestFit="1" customWidth="1"/>
    <col min="13040" max="13040" width="12" customWidth="1"/>
    <col min="13041" max="13041" width="12.28515625" customWidth="1"/>
    <col min="13042" max="13042" width="11.5703125" customWidth="1"/>
    <col min="13043" max="13043" width="12.5703125" customWidth="1"/>
    <col min="13044" max="13045" width="10.85546875" bestFit="1" customWidth="1"/>
    <col min="13046" max="13046" width="11.85546875" bestFit="1" customWidth="1"/>
    <col min="13047" max="13047" width="10.85546875" bestFit="1" customWidth="1"/>
    <col min="13048" max="13048" width="12.28515625" customWidth="1"/>
    <col min="13049" max="13049" width="11.5703125" customWidth="1"/>
    <col min="13050" max="13050" width="10.85546875" bestFit="1" customWidth="1"/>
    <col min="13053" max="13053" width="11.85546875" bestFit="1" customWidth="1"/>
    <col min="13054" max="13055" width="12.28515625" customWidth="1"/>
    <col min="13056" max="13056" width="11.5703125" customWidth="1"/>
    <col min="13057" max="13057" width="10.85546875" bestFit="1" customWidth="1"/>
    <col min="13060" max="13060" width="11.85546875" bestFit="1" customWidth="1"/>
    <col min="13061" max="13062" width="12.28515625" customWidth="1"/>
    <col min="13063" max="13063" width="11.5703125" customWidth="1"/>
    <col min="13064" max="13064" width="10.85546875" bestFit="1" customWidth="1"/>
    <col min="13067" max="13067" width="11.85546875" bestFit="1" customWidth="1"/>
    <col min="13068" max="13069" width="12.28515625" customWidth="1"/>
    <col min="13070" max="13070" width="11.5703125" customWidth="1"/>
    <col min="13071" max="13071" width="10.85546875" bestFit="1" customWidth="1"/>
    <col min="13074" max="13074" width="11.85546875" bestFit="1" customWidth="1"/>
    <col min="13075" max="13076" width="12.28515625" customWidth="1"/>
    <col min="13077" max="13077" width="11.5703125" customWidth="1"/>
    <col min="13078" max="13078" width="10.85546875" bestFit="1" customWidth="1"/>
    <col min="13293" max="13293" width="11" customWidth="1"/>
    <col min="13294" max="13294" width="10.85546875" customWidth="1"/>
    <col min="13295" max="13295" width="11.85546875" bestFit="1" customWidth="1"/>
    <col min="13296" max="13296" width="12" customWidth="1"/>
    <col min="13297" max="13297" width="12.28515625" customWidth="1"/>
    <col min="13298" max="13298" width="11.5703125" customWidth="1"/>
    <col min="13299" max="13299" width="12.5703125" customWidth="1"/>
    <col min="13300" max="13301" width="10.85546875" bestFit="1" customWidth="1"/>
    <col min="13302" max="13302" width="11.85546875" bestFit="1" customWidth="1"/>
    <col min="13303" max="13303" width="10.85546875" bestFit="1" customWidth="1"/>
    <col min="13304" max="13304" width="12.28515625" customWidth="1"/>
    <col min="13305" max="13305" width="11.5703125" customWidth="1"/>
    <col min="13306" max="13306" width="10.85546875" bestFit="1" customWidth="1"/>
    <col min="13309" max="13309" width="11.85546875" bestFit="1" customWidth="1"/>
    <col min="13310" max="13311" width="12.28515625" customWidth="1"/>
    <col min="13312" max="13312" width="11.5703125" customWidth="1"/>
    <col min="13313" max="13313" width="10.85546875" bestFit="1" customWidth="1"/>
    <col min="13316" max="13316" width="11.85546875" bestFit="1" customWidth="1"/>
    <col min="13317" max="13318" width="12.28515625" customWidth="1"/>
    <col min="13319" max="13319" width="11.5703125" customWidth="1"/>
    <col min="13320" max="13320" width="10.85546875" bestFit="1" customWidth="1"/>
    <col min="13323" max="13323" width="11.85546875" bestFit="1" customWidth="1"/>
    <col min="13324" max="13325" width="12.28515625" customWidth="1"/>
    <col min="13326" max="13326" width="11.5703125" customWidth="1"/>
    <col min="13327" max="13327" width="10.85546875" bestFit="1" customWidth="1"/>
    <col min="13330" max="13330" width="11.85546875" bestFit="1" customWidth="1"/>
    <col min="13331" max="13332" width="12.28515625" customWidth="1"/>
    <col min="13333" max="13333" width="11.5703125" customWidth="1"/>
    <col min="13334" max="13334" width="10.85546875" bestFit="1" customWidth="1"/>
    <col min="13549" max="13549" width="11" customWidth="1"/>
    <col min="13550" max="13550" width="10.85546875" customWidth="1"/>
    <col min="13551" max="13551" width="11.85546875" bestFit="1" customWidth="1"/>
    <col min="13552" max="13552" width="12" customWidth="1"/>
    <col min="13553" max="13553" width="12.28515625" customWidth="1"/>
    <col min="13554" max="13554" width="11.5703125" customWidth="1"/>
    <col min="13555" max="13555" width="12.5703125" customWidth="1"/>
    <col min="13556" max="13557" width="10.85546875" bestFit="1" customWidth="1"/>
    <col min="13558" max="13558" width="11.85546875" bestFit="1" customWidth="1"/>
    <col min="13559" max="13559" width="10.85546875" bestFit="1" customWidth="1"/>
    <col min="13560" max="13560" width="12.28515625" customWidth="1"/>
    <col min="13561" max="13561" width="11.5703125" customWidth="1"/>
    <col min="13562" max="13562" width="10.85546875" bestFit="1" customWidth="1"/>
    <col min="13565" max="13565" width="11.85546875" bestFit="1" customWidth="1"/>
    <col min="13566" max="13567" width="12.28515625" customWidth="1"/>
    <col min="13568" max="13568" width="11.5703125" customWidth="1"/>
    <col min="13569" max="13569" width="10.85546875" bestFit="1" customWidth="1"/>
    <col min="13572" max="13572" width="11.85546875" bestFit="1" customWidth="1"/>
    <col min="13573" max="13574" width="12.28515625" customWidth="1"/>
    <col min="13575" max="13575" width="11.5703125" customWidth="1"/>
    <col min="13576" max="13576" width="10.85546875" bestFit="1" customWidth="1"/>
    <col min="13579" max="13579" width="11.85546875" bestFit="1" customWidth="1"/>
    <col min="13580" max="13581" width="12.28515625" customWidth="1"/>
    <col min="13582" max="13582" width="11.5703125" customWidth="1"/>
    <col min="13583" max="13583" width="10.85546875" bestFit="1" customWidth="1"/>
    <col min="13586" max="13586" width="11.85546875" bestFit="1" customWidth="1"/>
    <col min="13587" max="13588" width="12.28515625" customWidth="1"/>
    <col min="13589" max="13589" width="11.5703125" customWidth="1"/>
    <col min="13590" max="13590" width="10.85546875" bestFit="1" customWidth="1"/>
    <col min="13805" max="13805" width="11" customWidth="1"/>
    <col min="13806" max="13806" width="10.85546875" customWidth="1"/>
    <col min="13807" max="13807" width="11.85546875" bestFit="1" customWidth="1"/>
    <col min="13808" max="13808" width="12" customWidth="1"/>
    <col min="13809" max="13809" width="12.28515625" customWidth="1"/>
    <col min="13810" max="13810" width="11.5703125" customWidth="1"/>
    <col min="13811" max="13811" width="12.5703125" customWidth="1"/>
    <col min="13812" max="13813" width="10.85546875" bestFit="1" customWidth="1"/>
    <col min="13814" max="13814" width="11.85546875" bestFit="1" customWidth="1"/>
    <col min="13815" max="13815" width="10.85546875" bestFit="1" customWidth="1"/>
    <col min="13816" max="13816" width="12.28515625" customWidth="1"/>
    <col min="13817" max="13817" width="11.5703125" customWidth="1"/>
    <col min="13818" max="13818" width="10.85546875" bestFit="1" customWidth="1"/>
    <col min="13821" max="13821" width="11.85546875" bestFit="1" customWidth="1"/>
    <col min="13822" max="13823" width="12.28515625" customWidth="1"/>
    <col min="13824" max="13824" width="11.5703125" customWidth="1"/>
    <col min="13825" max="13825" width="10.85546875" bestFit="1" customWidth="1"/>
    <col min="13828" max="13828" width="11.85546875" bestFit="1" customWidth="1"/>
    <col min="13829" max="13830" width="12.28515625" customWidth="1"/>
    <col min="13831" max="13831" width="11.5703125" customWidth="1"/>
    <col min="13832" max="13832" width="10.85546875" bestFit="1" customWidth="1"/>
    <col min="13835" max="13835" width="11.85546875" bestFit="1" customWidth="1"/>
    <col min="13836" max="13837" width="12.28515625" customWidth="1"/>
    <col min="13838" max="13838" width="11.5703125" customWidth="1"/>
    <col min="13839" max="13839" width="10.85546875" bestFit="1" customWidth="1"/>
    <col min="13842" max="13842" width="11.85546875" bestFit="1" customWidth="1"/>
    <col min="13843" max="13844" width="12.28515625" customWidth="1"/>
    <col min="13845" max="13845" width="11.5703125" customWidth="1"/>
    <col min="13846" max="13846" width="10.85546875" bestFit="1" customWidth="1"/>
    <col min="14061" max="14061" width="11" customWidth="1"/>
    <col min="14062" max="14062" width="10.85546875" customWidth="1"/>
    <col min="14063" max="14063" width="11.85546875" bestFit="1" customWidth="1"/>
    <col min="14064" max="14064" width="12" customWidth="1"/>
    <col min="14065" max="14065" width="12.28515625" customWidth="1"/>
    <col min="14066" max="14066" width="11.5703125" customWidth="1"/>
    <col min="14067" max="14067" width="12.5703125" customWidth="1"/>
    <col min="14068" max="14069" width="10.85546875" bestFit="1" customWidth="1"/>
    <col min="14070" max="14070" width="11.85546875" bestFit="1" customWidth="1"/>
    <col min="14071" max="14071" width="10.85546875" bestFit="1" customWidth="1"/>
    <col min="14072" max="14072" width="12.28515625" customWidth="1"/>
    <col min="14073" max="14073" width="11.5703125" customWidth="1"/>
    <col min="14074" max="14074" width="10.85546875" bestFit="1" customWidth="1"/>
    <col min="14077" max="14077" width="11.85546875" bestFit="1" customWidth="1"/>
    <col min="14078" max="14079" width="12.28515625" customWidth="1"/>
    <col min="14080" max="14080" width="11.5703125" customWidth="1"/>
    <col min="14081" max="14081" width="10.85546875" bestFit="1" customWidth="1"/>
    <col min="14084" max="14084" width="11.85546875" bestFit="1" customWidth="1"/>
    <col min="14085" max="14086" width="12.28515625" customWidth="1"/>
    <col min="14087" max="14087" width="11.5703125" customWidth="1"/>
    <col min="14088" max="14088" width="10.85546875" bestFit="1" customWidth="1"/>
    <col min="14091" max="14091" width="11.85546875" bestFit="1" customWidth="1"/>
    <col min="14092" max="14093" width="12.28515625" customWidth="1"/>
    <col min="14094" max="14094" width="11.5703125" customWidth="1"/>
    <col min="14095" max="14095" width="10.85546875" bestFit="1" customWidth="1"/>
    <col min="14098" max="14098" width="11.85546875" bestFit="1" customWidth="1"/>
    <col min="14099" max="14100" width="12.28515625" customWidth="1"/>
    <col min="14101" max="14101" width="11.5703125" customWidth="1"/>
    <col min="14102" max="14102" width="10.85546875" bestFit="1" customWidth="1"/>
    <col min="14317" max="14317" width="11" customWidth="1"/>
    <col min="14318" max="14318" width="10.85546875" customWidth="1"/>
    <col min="14319" max="14319" width="11.85546875" bestFit="1" customWidth="1"/>
    <col min="14320" max="14320" width="12" customWidth="1"/>
    <col min="14321" max="14321" width="12.28515625" customWidth="1"/>
    <col min="14322" max="14322" width="11.5703125" customWidth="1"/>
    <col min="14323" max="14323" width="12.5703125" customWidth="1"/>
    <col min="14324" max="14325" width="10.85546875" bestFit="1" customWidth="1"/>
    <col min="14326" max="14326" width="11.85546875" bestFit="1" customWidth="1"/>
    <col min="14327" max="14327" width="10.85546875" bestFit="1" customWidth="1"/>
    <col min="14328" max="14328" width="12.28515625" customWidth="1"/>
    <col min="14329" max="14329" width="11.5703125" customWidth="1"/>
    <col min="14330" max="14330" width="10.85546875" bestFit="1" customWidth="1"/>
    <col min="14333" max="14333" width="11.85546875" bestFit="1" customWidth="1"/>
    <col min="14334" max="14335" width="12.28515625" customWidth="1"/>
    <col min="14336" max="14336" width="11.5703125" customWidth="1"/>
    <col min="14337" max="14337" width="10.85546875" bestFit="1" customWidth="1"/>
    <col min="14340" max="14340" width="11.85546875" bestFit="1" customWidth="1"/>
    <col min="14341" max="14342" width="12.28515625" customWidth="1"/>
    <col min="14343" max="14343" width="11.5703125" customWidth="1"/>
    <col min="14344" max="14344" width="10.85546875" bestFit="1" customWidth="1"/>
    <col min="14347" max="14347" width="11.85546875" bestFit="1" customWidth="1"/>
    <col min="14348" max="14349" width="12.28515625" customWidth="1"/>
    <col min="14350" max="14350" width="11.5703125" customWidth="1"/>
    <col min="14351" max="14351" width="10.85546875" bestFit="1" customWidth="1"/>
    <col min="14354" max="14354" width="11.85546875" bestFit="1" customWidth="1"/>
    <col min="14355" max="14356" width="12.28515625" customWidth="1"/>
    <col min="14357" max="14357" width="11.5703125" customWidth="1"/>
    <col min="14358" max="14358" width="10.85546875" bestFit="1" customWidth="1"/>
    <col min="14573" max="14573" width="11" customWidth="1"/>
    <col min="14574" max="14574" width="10.85546875" customWidth="1"/>
    <col min="14575" max="14575" width="11.85546875" bestFit="1" customWidth="1"/>
    <col min="14576" max="14576" width="12" customWidth="1"/>
    <col min="14577" max="14577" width="12.28515625" customWidth="1"/>
    <col min="14578" max="14578" width="11.5703125" customWidth="1"/>
    <col min="14579" max="14579" width="12.5703125" customWidth="1"/>
    <col min="14580" max="14581" width="10.85546875" bestFit="1" customWidth="1"/>
    <col min="14582" max="14582" width="11.85546875" bestFit="1" customWidth="1"/>
    <col min="14583" max="14583" width="10.85546875" bestFit="1" customWidth="1"/>
    <col min="14584" max="14584" width="12.28515625" customWidth="1"/>
    <col min="14585" max="14585" width="11.5703125" customWidth="1"/>
    <col min="14586" max="14586" width="10.85546875" bestFit="1" customWidth="1"/>
    <col min="14589" max="14589" width="11.85546875" bestFit="1" customWidth="1"/>
    <col min="14590" max="14591" width="12.28515625" customWidth="1"/>
    <col min="14592" max="14592" width="11.5703125" customWidth="1"/>
    <col min="14593" max="14593" width="10.85546875" bestFit="1" customWidth="1"/>
    <col min="14596" max="14596" width="11.85546875" bestFit="1" customWidth="1"/>
    <col min="14597" max="14598" width="12.28515625" customWidth="1"/>
    <col min="14599" max="14599" width="11.5703125" customWidth="1"/>
    <col min="14600" max="14600" width="10.85546875" bestFit="1" customWidth="1"/>
    <col min="14603" max="14603" width="11.85546875" bestFit="1" customWidth="1"/>
    <col min="14604" max="14605" width="12.28515625" customWidth="1"/>
    <col min="14606" max="14606" width="11.5703125" customWidth="1"/>
    <col min="14607" max="14607" width="10.85546875" bestFit="1" customWidth="1"/>
    <col min="14610" max="14610" width="11.85546875" bestFit="1" customWidth="1"/>
    <col min="14611" max="14612" width="12.28515625" customWidth="1"/>
    <col min="14613" max="14613" width="11.5703125" customWidth="1"/>
    <col min="14614" max="14614" width="10.85546875" bestFit="1" customWidth="1"/>
    <col min="14829" max="14829" width="11" customWidth="1"/>
    <col min="14830" max="14830" width="10.85546875" customWidth="1"/>
    <col min="14831" max="14831" width="11.85546875" bestFit="1" customWidth="1"/>
    <col min="14832" max="14832" width="12" customWidth="1"/>
    <col min="14833" max="14833" width="12.28515625" customWidth="1"/>
    <col min="14834" max="14834" width="11.5703125" customWidth="1"/>
    <col min="14835" max="14835" width="12.5703125" customWidth="1"/>
    <col min="14836" max="14837" width="10.85546875" bestFit="1" customWidth="1"/>
    <col min="14838" max="14838" width="11.85546875" bestFit="1" customWidth="1"/>
    <col min="14839" max="14839" width="10.85546875" bestFit="1" customWidth="1"/>
    <col min="14840" max="14840" width="12.28515625" customWidth="1"/>
    <col min="14841" max="14841" width="11.5703125" customWidth="1"/>
    <col min="14842" max="14842" width="10.85546875" bestFit="1" customWidth="1"/>
    <col min="14845" max="14845" width="11.85546875" bestFit="1" customWidth="1"/>
    <col min="14846" max="14847" width="12.28515625" customWidth="1"/>
    <col min="14848" max="14848" width="11.5703125" customWidth="1"/>
    <col min="14849" max="14849" width="10.85546875" bestFit="1" customWidth="1"/>
    <col min="14852" max="14852" width="11.85546875" bestFit="1" customWidth="1"/>
    <col min="14853" max="14854" width="12.28515625" customWidth="1"/>
    <col min="14855" max="14855" width="11.5703125" customWidth="1"/>
    <col min="14856" max="14856" width="10.85546875" bestFit="1" customWidth="1"/>
    <col min="14859" max="14859" width="11.85546875" bestFit="1" customWidth="1"/>
    <col min="14860" max="14861" width="12.28515625" customWidth="1"/>
    <col min="14862" max="14862" width="11.5703125" customWidth="1"/>
    <col min="14863" max="14863" width="10.85546875" bestFit="1" customWidth="1"/>
    <col min="14866" max="14866" width="11.85546875" bestFit="1" customWidth="1"/>
    <col min="14867" max="14868" width="12.28515625" customWidth="1"/>
    <col min="14869" max="14869" width="11.5703125" customWidth="1"/>
    <col min="14870" max="14870" width="10.85546875" bestFit="1" customWidth="1"/>
    <col min="15085" max="15085" width="11" customWidth="1"/>
    <col min="15086" max="15086" width="10.85546875" customWidth="1"/>
    <col min="15087" max="15087" width="11.85546875" bestFit="1" customWidth="1"/>
    <col min="15088" max="15088" width="12" customWidth="1"/>
    <col min="15089" max="15089" width="12.28515625" customWidth="1"/>
    <col min="15090" max="15090" width="11.5703125" customWidth="1"/>
    <col min="15091" max="15091" width="12.5703125" customWidth="1"/>
    <col min="15092" max="15093" width="10.85546875" bestFit="1" customWidth="1"/>
    <col min="15094" max="15094" width="11.85546875" bestFit="1" customWidth="1"/>
    <col min="15095" max="15095" width="10.85546875" bestFit="1" customWidth="1"/>
    <col min="15096" max="15096" width="12.28515625" customWidth="1"/>
    <col min="15097" max="15097" width="11.5703125" customWidth="1"/>
    <col min="15098" max="15098" width="10.85546875" bestFit="1" customWidth="1"/>
    <col min="15101" max="15101" width="11.85546875" bestFit="1" customWidth="1"/>
    <col min="15102" max="15103" width="12.28515625" customWidth="1"/>
    <col min="15104" max="15104" width="11.5703125" customWidth="1"/>
    <col min="15105" max="15105" width="10.85546875" bestFit="1" customWidth="1"/>
    <col min="15108" max="15108" width="11.85546875" bestFit="1" customWidth="1"/>
    <col min="15109" max="15110" width="12.28515625" customWidth="1"/>
    <col min="15111" max="15111" width="11.5703125" customWidth="1"/>
    <col min="15112" max="15112" width="10.85546875" bestFit="1" customWidth="1"/>
    <col min="15115" max="15115" width="11.85546875" bestFit="1" customWidth="1"/>
    <col min="15116" max="15117" width="12.28515625" customWidth="1"/>
    <col min="15118" max="15118" width="11.5703125" customWidth="1"/>
    <col min="15119" max="15119" width="10.85546875" bestFit="1" customWidth="1"/>
    <col min="15122" max="15122" width="11.85546875" bestFit="1" customWidth="1"/>
    <col min="15123" max="15124" width="12.28515625" customWidth="1"/>
    <col min="15125" max="15125" width="11.5703125" customWidth="1"/>
    <col min="15126" max="15126" width="10.85546875" bestFit="1" customWidth="1"/>
    <col min="15341" max="15341" width="11" customWidth="1"/>
    <col min="15342" max="15342" width="10.85546875" customWidth="1"/>
    <col min="15343" max="15343" width="11.85546875" bestFit="1" customWidth="1"/>
    <col min="15344" max="15344" width="12" customWidth="1"/>
    <col min="15345" max="15345" width="12.28515625" customWidth="1"/>
    <col min="15346" max="15346" width="11.5703125" customWidth="1"/>
    <col min="15347" max="15347" width="12.5703125" customWidth="1"/>
    <col min="15348" max="15349" width="10.85546875" bestFit="1" customWidth="1"/>
    <col min="15350" max="15350" width="11.85546875" bestFit="1" customWidth="1"/>
    <col min="15351" max="15351" width="10.85546875" bestFit="1" customWidth="1"/>
    <col min="15352" max="15352" width="12.28515625" customWidth="1"/>
    <col min="15353" max="15353" width="11.5703125" customWidth="1"/>
    <col min="15354" max="15354" width="10.85546875" bestFit="1" customWidth="1"/>
    <col min="15357" max="15357" width="11.85546875" bestFit="1" customWidth="1"/>
    <col min="15358" max="15359" width="12.28515625" customWidth="1"/>
    <col min="15360" max="15360" width="11.5703125" customWidth="1"/>
    <col min="15361" max="15361" width="10.85546875" bestFit="1" customWidth="1"/>
    <col min="15364" max="15364" width="11.85546875" bestFit="1" customWidth="1"/>
    <col min="15365" max="15366" width="12.28515625" customWidth="1"/>
    <col min="15367" max="15367" width="11.5703125" customWidth="1"/>
    <col min="15368" max="15368" width="10.85546875" bestFit="1" customWidth="1"/>
    <col min="15371" max="15371" width="11.85546875" bestFit="1" customWidth="1"/>
    <col min="15372" max="15373" width="12.28515625" customWidth="1"/>
    <col min="15374" max="15374" width="11.5703125" customWidth="1"/>
    <col min="15375" max="15375" width="10.85546875" bestFit="1" customWidth="1"/>
    <col min="15378" max="15378" width="11.85546875" bestFit="1" customWidth="1"/>
    <col min="15379" max="15380" width="12.28515625" customWidth="1"/>
    <col min="15381" max="15381" width="11.5703125" customWidth="1"/>
    <col min="15382" max="15382" width="10.85546875" bestFit="1" customWidth="1"/>
    <col min="15597" max="15597" width="11" customWidth="1"/>
    <col min="15598" max="15598" width="10.85546875" customWidth="1"/>
    <col min="15599" max="15599" width="11.85546875" bestFit="1" customWidth="1"/>
    <col min="15600" max="15600" width="12" customWidth="1"/>
    <col min="15601" max="15601" width="12.28515625" customWidth="1"/>
    <col min="15602" max="15602" width="11.5703125" customWidth="1"/>
    <col min="15603" max="15603" width="12.5703125" customWidth="1"/>
    <col min="15604" max="15605" width="10.85546875" bestFit="1" customWidth="1"/>
    <col min="15606" max="15606" width="11.85546875" bestFit="1" customWidth="1"/>
    <col min="15607" max="15607" width="10.85546875" bestFit="1" customWidth="1"/>
    <col min="15608" max="15608" width="12.28515625" customWidth="1"/>
    <col min="15609" max="15609" width="11.5703125" customWidth="1"/>
    <col min="15610" max="15610" width="10.85546875" bestFit="1" customWidth="1"/>
    <col min="15613" max="15613" width="11.85546875" bestFit="1" customWidth="1"/>
    <col min="15614" max="15615" width="12.28515625" customWidth="1"/>
    <col min="15616" max="15616" width="11.5703125" customWidth="1"/>
    <col min="15617" max="15617" width="10.85546875" bestFit="1" customWidth="1"/>
    <col min="15620" max="15620" width="11.85546875" bestFit="1" customWidth="1"/>
    <col min="15621" max="15622" width="12.28515625" customWidth="1"/>
    <col min="15623" max="15623" width="11.5703125" customWidth="1"/>
    <col min="15624" max="15624" width="10.85546875" bestFit="1" customWidth="1"/>
    <col min="15627" max="15627" width="11.85546875" bestFit="1" customWidth="1"/>
    <col min="15628" max="15629" width="12.28515625" customWidth="1"/>
    <col min="15630" max="15630" width="11.5703125" customWidth="1"/>
    <col min="15631" max="15631" width="10.85546875" bestFit="1" customWidth="1"/>
    <col min="15634" max="15634" width="11.85546875" bestFit="1" customWidth="1"/>
    <col min="15635" max="15636" width="12.28515625" customWidth="1"/>
    <col min="15637" max="15637" width="11.5703125" customWidth="1"/>
    <col min="15638" max="15638" width="10.85546875" bestFit="1" customWidth="1"/>
    <col min="15853" max="15853" width="11" customWidth="1"/>
    <col min="15854" max="15854" width="10.85546875" customWidth="1"/>
    <col min="15855" max="15855" width="11.85546875" bestFit="1" customWidth="1"/>
    <col min="15856" max="15856" width="12" customWidth="1"/>
    <col min="15857" max="15857" width="12.28515625" customWidth="1"/>
    <col min="15858" max="15858" width="11.5703125" customWidth="1"/>
    <col min="15859" max="15859" width="12.5703125" customWidth="1"/>
    <col min="15860" max="15861" width="10.85546875" bestFit="1" customWidth="1"/>
    <col min="15862" max="15862" width="11.85546875" bestFit="1" customWidth="1"/>
    <col min="15863" max="15863" width="10.85546875" bestFit="1" customWidth="1"/>
    <col min="15864" max="15864" width="12.28515625" customWidth="1"/>
    <col min="15865" max="15865" width="11.5703125" customWidth="1"/>
    <col min="15866" max="15866" width="10.85546875" bestFit="1" customWidth="1"/>
    <col min="15869" max="15869" width="11.85546875" bestFit="1" customWidth="1"/>
    <col min="15870" max="15871" width="12.28515625" customWidth="1"/>
    <col min="15872" max="15872" width="11.5703125" customWidth="1"/>
    <col min="15873" max="15873" width="10.85546875" bestFit="1" customWidth="1"/>
    <col min="15876" max="15876" width="11.85546875" bestFit="1" customWidth="1"/>
    <col min="15877" max="15878" width="12.28515625" customWidth="1"/>
    <col min="15879" max="15879" width="11.5703125" customWidth="1"/>
    <col min="15880" max="15880" width="10.85546875" bestFit="1" customWidth="1"/>
    <col min="15883" max="15883" width="11.85546875" bestFit="1" customWidth="1"/>
    <col min="15884" max="15885" width="12.28515625" customWidth="1"/>
    <col min="15886" max="15886" width="11.5703125" customWidth="1"/>
    <col min="15887" max="15887" width="10.85546875" bestFit="1" customWidth="1"/>
    <col min="15890" max="15890" width="11.85546875" bestFit="1" customWidth="1"/>
    <col min="15891" max="15892" width="12.28515625" customWidth="1"/>
    <col min="15893" max="15893" width="11.5703125" customWidth="1"/>
    <col min="15894" max="15894" width="10.85546875" bestFit="1" customWidth="1"/>
    <col min="16109" max="16109" width="11" customWidth="1"/>
    <col min="16110" max="16110" width="10.85546875" customWidth="1"/>
    <col min="16111" max="16111" width="11.85546875" bestFit="1" customWidth="1"/>
    <col min="16112" max="16112" width="12" customWidth="1"/>
    <col min="16113" max="16113" width="12.28515625" customWidth="1"/>
    <col min="16114" max="16114" width="11.5703125" customWidth="1"/>
    <col min="16115" max="16115" width="12.5703125" customWidth="1"/>
    <col min="16116" max="16117" width="10.85546875" bestFit="1" customWidth="1"/>
    <col min="16118" max="16118" width="11.85546875" bestFit="1" customWidth="1"/>
    <col min="16119" max="16119" width="10.85546875" bestFit="1" customWidth="1"/>
    <col min="16120" max="16120" width="12.28515625" customWidth="1"/>
    <col min="16121" max="16121" width="11.5703125" customWidth="1"/>
    <col min="16122" max="16122" width="10.85546875" bestFit="1" customWidth="1"/>
    <col min="16125" max="16125" width="11.85546875" bestFit="1" customWidth="1"/>
    <col min="16126" max="16127" width="12.28515625" customWidth="1"/>
    <col min="16128" max="16128" width="11.5703125" customWidth="1"/>
    <col min="16129" max="16129" width="10.85546875" bestFit="1" customWidth="1"/>
    <col min="16132" max="16132" width="11.85546875" bestFit="1" customWidth="1"/>
    <col min="16133" max="16134" width="12.28515625" customWidth="1"/>
    <col min="16135" max="16135" width="11.5703125" customWidth="1"/>
    <col min="16136" max="16136" width="10.85546875" bestFit="1" customWidth="1"/>
    <col min="16139" max="16139" width="11.85546875" bestFit="1" customWidth="1"/>
    <col min="16140" max="16141" width="12.28515625" customWidth="1"/>
    <col min="16142" max="16142" width="11.5703125" customWidth="1"/>
    <col min="16143" max="16143" width="10.85546875" bestFit="1" customWidth="1"/>
    <col min="16146" max="16146" width="11.85546875" bestFit="1" customWidth="1"/>
    <col min="16147" max="16148" width="12.28515625" customWidth="1"/>
    <col min="16149" max="16149" width="11.5703125" customWidth="1"/>
    <col min="16150" max="16150" width="10.85546875" bestFit="1" customWidth="1"/>
  </cols>
  <sheetData>
    <row r="2" spans="2:32" x14ac:dyDescent="0.25">
      <c r="C2" s="80">
        <v>0.2</v>
      </c>
      <c r="J2" s="81"/>
      <c r="S2" s="81"/>
      <c r="Z2" s="80">
        <v>0.2</v>
      </c>
    </row>
    <row r="4" spans="2:32" x14ac:dyDescent="0.25">
      <c r="B4">
        <v>2025</v>
      </c>
      <c r="C4" s="82" t="s">
        <v>225</v>
      </c>
      <c r="D4" s="86">
        <f>'ам мо'!F2+30000</f>
        <v>79671.902999999991</v>
      </c>
      <c r="E4" s="84">
        <f>D4/120</f>
        <v>663.93252499999994</v>
      </c>
      <c r="F4" s="85">
        <f>D4*$C$2/12</f>
        <v>1327.8650499999999</v>
      </c>
      <c r="G4" s="85">
        <f>E4+F4</f>
        <v>1991.7975749999998</v>
      </c>
      <c r="I4">
        <v>2025</v>
      </c>
      <c r="J4" s="82" t="s">
        <v>225</v>
      </c>
      <c r="K4" s="86"/>
      <c r="L4" s="84">
        <f>K4/120</f>
        <v>0</v>
      </c>
      <c r="M4" s="85">
        <f>K4*$C$2/12</f>
        <v>0</v>
      </c>
      <c r="N4" s="85">
        <f>L4+M4</f>
        <v>0</v>
      </c>
      <c r="R4">
        <v>2025</v>
      </c>
      <c r="S4" s="82" t="s">
        <v>225</v>
      </c>
      <c r="T4" s="86"/>
      <c r="U4" s="84">
        <f>T4/120</f>
        <v>0</v>
      </c>
      <c r="V4" s="85">
        <f>T4*$C$2/12</f>
        <v>0</v>
      </c>
      <c r="W4" s="85">
        <f>U4+V4</f>
        <v>0</v>
      </c>
      <c r="Y4">
        <v>2027</v>
      </c>
      <c r="Z4" s="82" t="s">
        <v>225</v>
      </c>
      <c r="AA4" s="83">
        <f>K4+D4+T4</f>
        <v>79671.902999999991</v>
      </c>
      <c r="AB4" s="83">
        <f t="shared" ref="AB4:AD4" si="0">L4+E4+U4</f>
        <v>663.93252499999994</v>
      </c>
      <c r="AC4" s="83">
        <f t="shared" si="0"/>
        <v>1327.8650499999999</v>
      </c>
      <c r="AD4" s="83">
        <f t="shared" si="0"/>
        <v>1991.7975749999998</v>
      </c>
    </row>
    <row r="5" spans="2:32" x14ac:dyDescent="0.25">
      <c r="C5" s="87" t="s">
        <v>226</v>
      </c>
      <c r="D5" s="83">
        <f>D4-E5</f>
        <v>79007.970474999995</v>
      </c>
      <c r="E5" s="84">
        <f>E4</f>
        <v>663.93252499999994</v>
      </c>
      <c r="F5" s="85">
        <f t="shared" ref="F5:F25" si="1">D5*$C$2/12</f>
        <v>1316.7995079166667</v>
      </c>
      <c r="G5" s="85">
        <f t="shared" ref="G5:G68" si="2">E5+F5</f>
        <v>1980.7320329166666</v>
      </c>
      <c r="J5" s="87" t="s">
        <v>226</v>
      </c>
      <c r="K5" s="83"/>
      <c r="L5" s="84">
        <f>L4</f>
        <v>0</v>
      </c>
      <c r="M5" s="85">
        <f t="shared" ref="M5:M68" si="3">K5*$C$2/12</f>
        <v>0</v>
      </c>
      <c r="N5" s="85">
        <f t="shared" ref="N5:N67" si="4">L5+M5</f>
        <v>0</v>
      </c>
      <c r="S5" s="87" t="s">
        <v>226</v>
      </c>
      <c r="T5" s="83"/>
      <c r="U5" s="84">
        <f>U4</f>
        <v>0</v>
      </c>
      <c r="V5" s="85">
        <f t="shared" ref="V5:V68" si="5">T5*$C$2/12</f>
        <v>0</v>
      </c>
      <c r="W5" s="85">
        <f t="shared" ref="W5:W68" si="6">U5+V5</f>
        <v>0</v>
      </c>
      <c r="Z5" s="87" t="s">
        <v>226</v>
      </c>
      <c r="AA5" s="83">
        <f t="shared" ref="AA5:AA68" si="7">K5+D5+T5</f>
        <v>79007.970474999995</v>
      </c>
      <c r="AB5" s="83">
        <f t="shared" ref="AB5:AB68" si="8">L5+E5+U5</f>
        <v>663.93252499999994</v>
      </c>
      <c r="AC5" s="83">
        <f t="shared" ref="AC5:AC68" si="9">M5+F5+V5</f>
        <v>1316.7995079166667</v>
      </c>
      <c r="AD5" s="83">
        <f t="shared" ref="AD5:AD68" si="10">N5+G5+W5</f>
        <v>1980.7320329166666</v>
      </c>
    </row>
    <row r="6" spans="2:32" x14ac:dyDescent="0.25">
      <c r="C6" s="87" t="s">
        <v>227</v>
      </c>
      <c r="D6" s="83">
        <f t="shared" ref="D6:D69" si="11">D5-E6</f>
        <v>78344.037949999998</v>
      </c>
      <c r="E6" s="84">
        <f t="shared" ref="E6:E69" si="12">E5</f>
        <v>663.93252499999994</v>
      </c>
      <c r="F6" s="85">
        <f t="shared" si="1"/>
        <v>1305.7339658333333</v>
      </c>
      <c r="G6" s="85">
        <f t="shared" si="2"/>
        <v>1969.6664908333332</v>
      </c>
      <c r="J6" s="87" t="s">
        <v>227</v>
      </c>
      <c r="K6" s="83"/>
      <c r="L6" s="84">
        <f t="shared" ref="L6:L69" si="13">L5</f>
        <v>0</v>
      </c>
      <c r="M6" s="85">
        <f t="shared" si="3"/>
        <v>0</v>
      </c>
      <c r="N6" s="85">
        <f t="shared" si="4"/>
        <v>0</v>
      </c>
      <c r="S6" s="87" t="s">
        <v>227</v>
      </c>
      <c r="T6" s="83"/>
      <c r="U6" s="84">
        <f t="shared" ref="U6:U69" si="14">U5</f>
        <v>0</v>
      </c>
      <c r="V6" s="85">
        <f t="shared" si="5"/>
        <v>0</v>
      </c>
      <c r="W6" s="85">
        <f t="shared" si="6"/>
        <v>0</v>
      </c>
      <c r="Z6" s="87" t="s">
        <v>227</v>
      </c>
      <c r="AA6" s="83">
        <f t="shared" si="7"/>
        <v>78344.037949999998</v>
      </c>
      <c r="AB6" s="83">
        <f t="shared" si="8"/>
        <v>663.93252499999994</v>
      </c>
      <c r="AC6" s="83">
        <f t="shared" si="9"/>
        <v>1305.7339658333333</v>
      </c>
      <c r="AD6" s="83">
        <f t="shared" si="10"/>
        <v>1969.6664908333332</v>
      </c>
    </row>
    <row r="7" spans="2:32" x14ac:dyDescent="0.25">
      <c r="C7" s="87" t="s">
        <v>228</v>
      </c>
      <c r="D7" s="83">
        <f t="shared" si="11"/>
        <v>77680.105425000002</v>
      </c>
      <c r="E7" s="84">
        <f t="shared" si="12"/>
        <v>663.93252499999994</v>
      </c>
      <c r="F7" s="85">
        <f t="shared" si="1"/>
        <v>1294.6684237500001</v>
      </c>
      <c r="G7" s="85">
        <f t="shared" si="2"/>
        <v>1958.60094875</v>
      </c>
      <c r="J7" s="87" t="s">
        <v>228</v>
      </c>
      <c r="K7" s="83"/>
      <c r="L7" s="84">
        <f t="shared" si="13"/>
        <v>0</v>
      </c>
      <c r="M7" s="85">
        <f t="shared" si="3"/>
        <v>0</v>
      </c>
      <c r="N7" s="85">
        <f t="shared" si="4"/>
        <v>0</v>
      </c>
      <c r="S7" s="87" t="s">
        <v>228</v>
      </c>
      <c r="T7" s="83"/>
      <c r="U7" s="84">
        <f t="shared" si="14"/>
        <v>0</v>
      </c>
      <c r="V7" s="85">
        <f t="shared" si="5"/>
        <v>0</v>
      </c>
      <c r="W7" s="85">
        <f t="shared" si="6"/>
        <v>0</v>
      </c>
      <c r="Z7" s="87" t="s">
        <v>228</v>
      </c>
      <c r="AA7" s="83">
        <f t="shared" si="7"/>
        <v>77680.105425000002</v>
      </c>
      <c r="AB7" s="83">
        <f t="shared" si="8"/>
        <v>663.93252499999994</v>
      </c>
      <c r="AC7" s="83">
        <f t="shared" si="9"/>
        <v>1294.6684237500001</v>
      </c>
      <c r="AD7" s="83">
        <f t="shared" si="10"/>
        <v>1958.60094875</v>
      </c>
    </row>
    <row r="8" spans="2:32" x14ac:dyDescent="0.25">
      <c r="C8" s="87" t="s">
        <v>229</v>
      </c>
      <c r="D8" s="83">
        <f t="shared" si="11"/>
        <v>77016.172900000005</v>
      </c>
      <c r="E8" s="84">
        <f t="shared" si="12"/>
        <v>663.93252499999994</v>
      </c>
      <c r="F8" s="85">
        <f t="shared" si="1"/>
        <v>1283.6028816666669</v>
      </c>
      <c r="G8" s="85">
        <f t="shared" si="2"/>
        <v>1947.5354066666669</v>
      </c>
      <c r="J8" s="87" t="s">
        <v>229</v>
      </c>
      <c r="K8" s="83"/>
      <c r="L8" s="84">
        <f t="shared" si="13"/>
        <v>0</v>
      </c>
      <c r="M8" s="85">
        <f t="shared" si="3"/>
        <v>0</v>
      </c>
      <c r="N8" s="85">
        <f t="shared" si="4"/>
        <v>0</v>
      </c>
      <c r="S8" s="87" t="s">
        <v>229</v>
      </c>
      <c r="T8" s="83"/>
      <c r="U8" s="84">
        <f t="shared" si="14"/>
        <v>0</v>
      </c>
      <c r="V8" s="85">
        <f t="shared" si="5"/>
        <v>0</v>
      </c>
      <c r="W8" s="85">
        <f t="shared" si="6"/>
        <v>0</v>
      </c>
      <c r="Z8" s="87" t="s">
        <v>229</v>
      </c>
      <c r="AA8" s="83">
        <f t="shared" si="7"/>
        <v>77016.172900000005</v>
      </c>
      <c r="AB8" s="83">
        <f t="shared" si="8"/>
        <v>663.93252499999994</v>
      </c>
      <c r="AC8" s="83">
        <f t="shared" si="9"/>
        <v>1283.6028816666669</v>
      </c>
      <c r="AD8" s="83">
        <f t="shared" si="10"/>
        <v>1947.5354066666669</v>
      </c>
    </row>
    <row r="9" spans="2:32" x14ac:dyDescent="0.25">
      <c r="C9" s="87" t="s">
        <v>230</v>
      </c>
      <c r="D9" s="83">
        <f t="shared" si="11"/>
        <v>76352.240375000008</v>
      </c>
      <c r="E9" s="84">
        <f t="shared" si="12"/>
        <v>663.93252499999994</v>
      </c>
      <c r="F9" s="85">
        <f t="shared" si="1"/>
        <v>1272.5373395833335</v>
      </c>
      <c r="G9" s="85">
        <f t="shared" si="2"/>
        <v>1936.4698645833334</v>
      </c>
      <c r="J9" s="87" t="s">
        <v>230</v>
      </c>
      <c r="K9" s="83"/>
      <c r="L9" s="84">
        <f t="shared" si="13"/>
        <v>0</v>
      </c>
      <c r="M9" s="85">
        <f t="shared" si="3"/>
        <v>0</v>
      </c>
      <c r="N9" s="85">
        <f t="shared" si="4"/>
        <v>0</v>
      </c>
      <c r="S9" s="87" t="s">
        <v>230</v>
      </c>
      <c r="T9" s="83"/>
      <c r="U9" s="84">
        <f t="shared" si="14"/>
        <v>0</v>
      </c>
      <c r="V9" s="85">
        <f t="shared" si="5"/>
        <v>0</v>
      </c>
      <c r="W9" s="85">
        <f t="shared" si="6"/>
        <v>0</v>
      </c>
      <c r="Z9" s="87" t="s">
        <v>230</v>
      </c>
      <c r="AA9" s="83">
        <f t="shared" si="7"/>
        <v>76352.240375000008</v>
      </c>
      <c r="AB9" s="83">
        <f t="shared" si="8"/>
        <v>663.93252499999994</v>
      </c>
      <c r="AC9" s="83">
        <f t="shared" si="9"/>
        <v>1272.5373395833335</v>
      </c>
      <c r="AD9" s="83">
        <f t="shared" si="10"/>
        <v>1936.4698645833334</v>
      </c>
    </row>
    <row r="10" spans="2:32" x14ac:dyDescent="0.25">
      <c r="C10" s="87" t="s">
        <v>231</v>
      </c>
      <c r="D10" s="83">
        <f t="shared" si="11"/>
        <v>75688.307850000012</v>
      </c>
      <c r="E10" s="84">
        <f t="shared" si="12"/>
        <v>663.93252499999994</v>
      </c>
      <c r="F10" s="85">
        <f t="shared" si="1"/>
        <v>1261.4717975000003</v>
      </c>
      <c r="G10" s="85">
        <f t="shared" si="2"/>
        <v>1925.4043225000003</v>
      </c>
      <c r="J10" s="87" t="s">
        <v>231</v>
      </c>
      <c r="K10" s="83"/>
      <c r="L10" s="84">
        <f t="shared" si="13"/>
        <v>0</v>
      </c>
      <c r="M10" s="85">
        <f t="shared" si="3"/>
        <v>0</v>
      </c>
      <c r="N10" s="85">
        <f t="shared" si="4"/>
        <v>0</v>
      </c>
      <c r="S10" s="87" t="s">
        <v>231</v>
      </c>
      <c r="T10" s="83"/>
      <c r="U10" s="84">
        <f t="shared" si="14"/>
        <v>0</v>
      </c>
      <c r="V10" s="85">
        <f t="shared" si="5"/>
        <v>0</v>
      </c>
      <c r="W10" s="85">
        <f t="shared" si="6"/>
        <v>0</v>
      </c>
      <c r="Z10" s="87" t="s">
        <v>231</v>
      </c>
      <c r="AA10" s="83">
        <f t="shared" si="7"/>
        <v>75688.307850000012</v>
      </c>
      <c r="AB10" s="83">
        <f t="shared" si="8"/>
        <v>663.93252499999994</v>
      </c>
      <c r="AC10" s="83">
        <f t="shared" si="9"/>
        <v>1261.4717975000003</v>
      </c>
      <c r="AD10" s="83">
        <f t="shared" si="10"/>
        <v>1925.4043225000003</v>
      </c>
    </row>
    <row r="11" spans="2:32" x14ac:dyDescent="0.25">
      <c r="C11" s="87" t="s">
        <v>232</v>
      </c>
      <c r="D11" s="83">
        <f t="shared" si="11"/>
        <v>75024.375325000015</v>
      </c>
      <c r="E11" s="84">
        <f t="shared" si="12"/>
        <v>663.93252499999994</v>
      </c>
      <c r="F11" s="85">
        <f t="shared" si="1"/>
        <v>1250.4062554166669</v>
      </c>
      <c r="G11" s="85">
        <f t="shared" si="2"/>
        <v>1914.3387804166669</v>
      </c>
      <c r="J11" s="87" t="s">
        <v>232</v>
      </c>
      <c r="K11" s="83"/>
      <c r="L11" s="84">
        <f t="shared" si="13"/>
        <v>0</v>
      </c>
      <c r="M11" s="85">
        <f t="shared" si="3"/>
        <v>0</v>
      </c>
      <c r="N11" s="85">
        <f t="shared" si="4"/>
        <v>0</v>
      </c>
      <c r="S11" s="87" t="s">
        <v>232</v>
      </c>
      <c r="T11" s="83"/>
      <c r="U11" s="84">
        <f t="shared" si="14"/>
        <v>0</v>
      </c>
      <c r="V11" s="85">
        <f t="shared" si="5"/>
        <v>0</v>
      </c>
      <c r="W11" s="85">
        <f t="shared" si="6"/>
        <v>0</v>
      </c>
      <c r="Z11" s="87" t="s">
        <v>232</v>
      </c>
      <c r="AA11" s="83">
        <f t="shared" si="7"/>
        <v>75024.375325000015</v>
      </c>
      <c r="AB11" s="83">
        <f t="shared" si="8"/>
        <v>663.93252499999994</v>
      </c>
      <c r="AC11" s="83">
        <f t="shared" si="9"/>
        <v>1250.4062554166669</v>
      </c>
      <c r="AD11" s="83">
        <f t="shared" si="10"/>
        <v>1914.3387804166669</v>
      </c>
    </row>
    <row r="12" spans="2:32" x14ac:dyDescent="0.25">
      <c r="C12" s="87" t="s">
        <v>233</v>
      </c>
      <c r="D12" s="83">
        <f t="shared" si="11"/>
        <v>74360.442800000019</v>
      </c>
      <c r="E12" s="84">
        <f t="shared" si="12"/>
        <v>663.93252499999994</v>
      </c>
      <c r="F12" s="85">
        <f t="shared" si="1"/>
        <v>1239.3407133333337</v>
      </c>
      <c r="G12" s="85">
        <f t="shared" si="2"/>
        <v>1903.2732383333337</v>
      </c>
      <c r="J12" s="87" t="s">
        <v>233</v>
      </c>
      <c r="K12" s="83"/>
      <c r="L12" s="84">
        <f t="shared" si="13"/>
        <v>0</v>
      </c>
      <c r="M12" s="85">
        <f t="shared" si="3"/>
        <v>0</v>
      </c>
      <c r="N12" s="85">
        <f t="shared" si="4"/>
        <v>0</v>
      </c>
      <c r="S12" s="87" t="s">
        <v>233</v>
      </c>
      <c r="T12" s="83"/>
      <c r="U12" s="84">
        <f t="shared" si="14"/>
        <v>0</v>
      </c>
      <c r="V12" s="85">
        <f t="shared" si="5"/>
        <v>0</v>
      </c>
      <c r="W12" s="85">
        <f t="shared" si="6"/>
        <v>0</v>
      </c>
      <c r="Z12" s="87" t="s">
        <v>233</v>
      </c>
      <c r="AA12" s="83">
        <f t="shared" si="7"/>
        <v>74360.442800000019</v>
      </c>
      <c r="AB12" s="83">
        <f t="shared" si="8"/>
        <v>663.93252499999994</v>
      </c>
      <c r="AC12" s="83">
        <f t="shared" si="9"/>
        <v>1239.3407133333337</v>
      </c>
      <c r="AD12" s="83">
        <f t="shared" si="10"/>
        <v>1903.2732383333337</v>
      </c>
    </row>
    <row r="13" spans="2:32" x14ac:dyDescent="0.25">
      <c r="C13" s="87" t="s">
        <v>234</v>
      </c>
      <c r="D13" s="83">
        <f t="shared" si="11"/>
        <v>73696.510275000022</v>
      </c>
      <c r="E13" s="84">
        <f t="shared" si="12"/>
        <v>663.93252499999994</v>
      </c>
      <c r="F13" s="85">
        <f t="shared" si="1"/>
        <v>1228.2751712500005</v>
      </c>
      <c r="G13" s="85">
        <f t="shared" si="2"/>
        <v>1892.2076962500005</v>
      </c>
      <c r="J13" s="87" t="s">
        <v>234</v>
      </c>
      <c r="K13" s="83"/>
      <c r="L13" s="84">
        <f t="shared" si="13"/>
        <v>0</v>
      </c>
      <c r="M13" s="85">
        <f t="shared" si="3"/>
        <v>0</v>
      </c>
      <c r="N13" s="85">
        <f t="shared" si="4"/>
        <v>0</v>
      </c>
      <c r="S13" s="87" t="s">
        <v>234</v>
      </c>
      <c r="T13" s="83"/>
      <c r="U13" s="84">
        <f t="shared" si="14"/>
        <v>0</v>
      </c>
      <c r="V13" s="85">
        <f t="shared" si="5"/>
        <v>0</v>
      </c>
      <c r="W13" s="85">
        <f t="shared" si="6"/>
        <v>0</v>
      </c>
      <c r="Z13" s="87" t="s">
        <v>234</v>
      </c>
      <c r="AA13" s="83">
        <f t="shared" si="7"/>
        <v>73696.510275000022</v>
      </c>
      <c r="AB13" s="83">
        <f t="shared" si="8"/>
        <v>663.93252499999994</v>
      </c>
      <c r="AC13" s="83">
        <f t="shared" si="9"/>
        <v>1228.2751712500005</v>
      </c>
      <c r="AD13" s="83">
        <f t="shared" si="10"/>
        <v>1892.2076962500005</v>
      </c>
    </row>
    <row r="14" spans="2:32" x14ac:dyDescent="0.25">
      <c r="C14" s="87" t="s">
        <v>235</v>
      </c>
      <c r="D14" s="83">
        <f t="shared" si="11"/>
        <v>73032.577750000026</v>
      </c>
      <c r="E14" s="84">
        <f t="shared" si="12"/>
        <v>663.93252499999994</v>
      </c>
      <c r="F14" s="85">
        <f t="shared" si="1"/>
        <v>1217.2096291666671</v>
      </c>
      <c r="G14" s="85">
        <f t="shared" si="2"/>
        <v>1881.1421541666671</v>
      </c>
      <c r="J14" s="87" t="s">
        <v>235</v>
      </c>
      <c r="K14" s="83"/>
      <c r="L14" s="84">
        <f t="shared" si="13"/>
        <v>0</v>
      </c>
      <c r="M14" s="85">
        <f t="shared" si="3"/>
        <v>0</v>
      </c>
      <c r="N14" s="85">
        <f t="shared" si="4"/>
        <v>0</v>
      </c>
      <c r="S14" s="87" t="s">
        <v>235</v>
      </c>
      <c r="T14" s="83"/>
      <c r="U14" s="84">
        <f t="shared" si="14"/>
        <v>0</v>
      </c>
      <c r="V14" s="85">
        <f t="shared" si="5"/>
        <v>0</v>
      </c>
      <c r="W14" s="85">
        <f t="shared" si="6"/>
        <v>0</v>
      </c>
      <c r="Z14" s="87" t="s">
        <v>235</v>
      </c>
      <c r="AA14" s="83">
        <f t="shared" si="7"/>
        <v>73032.577750000026</v>
      </c>
      <c r="AB14" s="83">
        <f t="shared" si="8"/>
        <v>663.93252499999994</v>
      </c>
      <c r="AC14" s="83">
        <f t="shared" si="9"/>
        <v>1217.2096291666671</v>
      </c>
      <c r="AD14" s="83">
        <f t="shared" si="10"/>
        <v>1881.1421541666671</v>
      </c>
    </row>
    <row r="15" spans="2:32" x14ac:dyDescent="0.25">
      <c r="C15" s="87" t="s">
        <v>236</v>
      </c>
      <c r="D15" s="83">
        <f t="shared" si="11"/>
        <v>72368.645225000029</v>
      </c>
      <c r="E15" s="84">
        <f t="shared" si="12"/>
        <v>663.93252499999994</v>
      </c>
      <c r="F15" s="85">
        <f t="shared" si="1"/>
        <v>1206.1440870833339</v>
      </c>
      <c r="G15" s="85">
        <f t="shared" si="2"/>
        <v>1870.0766120833339</v>
      </c>
      <c r="H15" s="88">
        <f>SUM(F4:F15)</f>
        <v>15204.054822500004</v>
      </c>
      <c r="J15" s="87" t="s">
        <v>236</v>
      </c>
      <c r="K15" s="83"/>
      <c r="L15" s="84">
        <f t="shared" si="13"/>
        <v>0</v>
      </c>
      <c r="M15" s="85">
        <f t="shared" si="3"/>
        <v>0</v>
      </c>
      <c r="N15" s="85">
        <f t="shared" si="4"/>
        <v>0</v>
      </c>
      <c r="O15" s="88">
        <f>SUM(M4:M15)</f>
        <v>0</v>
      </c>
      <c r="S15" s="87" t="s">
        <v>236</v>
      </c>
      <c r="T15" s="83"/>
      <c r="U15" s="84">
        <f t="shared" si="14"/>
        <v>0</v>
      </c>
      <c r="V15" s="85">
        <f t="shared" si="5"/>
        <v>0</v>
      </c>
      <c r="W15" s="85">
        <f t="shared" si="6"/>
        <v>0</v>
      </c>
      <c r="X15" s="88">
        <f>SUM(V4:V15)</f>
        <v>0</v>
      </c>
      <c r="Z15" s="87" t="s">
        <v>236</v>
      </c>
      <c r="AA15" s="83">
        <f t="shared" si="7"/>
        <v>72368.645225000029</v>
      </c>
      <c r="AB15" s="83">
        <f t="shared" si="8"/>
        <v>663.93252499999994</v>
      </c>
      <c r="AC15" s="83">
        <f t="shared" si="9"/>
        <v>1206.1440870833339</v>
      </c>
      <c r="AD15" s="83">
        <f t="shared" si="10"/>
        <v>1870.0766120833339</v>
      </c>
      <c r="AE15" s="88">
        <f>SUM(AC4:AC15)</f>
        <v>15204.054822500004</v>
      </c>
      <c r="AF15" s="88">
        <f>H15+O15+X15</f>
        <v>15204.054822500004</v>
      </c>
    </row>
    <row r="16" spans="2:32" x14ac:dyDescent="0.25">
      <c r="B16">
        <f>B4+1</f>
        <v>2026</v>
      </c>
      <c r="C16" s="82" t="s">
        <v>225</v>
      </c>
      <c r="D16" s="83">
        <f t="shared" si="11"/>
        <v>71704.712700000033</v>
      </c>
      <c r="E16" s="84">
        <f t="shared" si="12"/>
        <v>663.93252499999994</v>
      </c>
      <c r="F16" s="85">
        <f t="shared" si="1"/>
        <v>1195.0785450000005</v>
      </c>
      <c r="G16" s="89">
        <f t="shared" si="2"/>
        <v>1859.0110700000005</v>
      </c>
      <c r="I16">
        <f>I4+1</f>
        <v>2026</v>
      </c>
      <c r="J16" s="82" t="s">
        <v>225</v>
      </c>
      <c r="K16" s="83">
        <f>'ам мо'!G3</f>
        <v>11913.603999999999</v>
      </c>
      <c r="L16" s="84">
        <f>K16/120</f>
        <v>99.280033333333321</v>
      </c>
      <c r="M16" s="85">
        <f t="shared" si="3"/>
        <v>198.56006666666667</v>
      </c>
      <c r="N16" s="89">
        <f t="shared" si="4"/>
        <v>297.84010000000001</v>
      </c>
      <c r="R16">
        <f>R4+1</f>
        <v>2026</v>
      </c>
      <c r="S16" s="82" t="s">
        <v>225</v>
      </c>
      <c r="T16" s="83"/>
      <c r="U16" s="84">
        <f t="shared" si="14"/>
        <v>0</v>
      </c>
      <c r="V16" s="85">
        <f t="shared" si="5"/>
        <v>0</v>
      </c>
      <c r="W16" s="89">
        <f t="shared" si="6"/>
        <v>0</v>
      </c>
      <c r="Y16">
        <v>2028</v>
      </c>
      <c r="Z16" s="82" t="s">
        <v>225</v>
      </c>
      <c r="AA16" s="83">
        <f t="shared" si="7"/>
        <v>83618.316700000025</v>
      </c>
      <c r="AB16" s="83">
        <f t="shared" si="8"/>
        <v>763.21255833333328</v>
      </c>
      <c r="AC16" s="83">
        <f t="shared" si="9"/>
        <v>1393.6386116666672</v>
      </c>
      <c r="AD16" s="83">
        <f t="shared" si="10"/>
        <v>2156.8511700000004</v>
      </c>
      <c r="AF16" s="88">
        <f t="shared" ref="AF16:AF79" si="15">H16+O16+X16</f>
        <v>0</v>
      </c>
    </row>
    <row r="17" spans="2:32" x14ac:dyDescent="0.25">
      <c r="C17" s="87" t="s">
        <v>226</v>
      </c>
      <c r="D17" s="83">
        <f t="shared" si="11"/>
        <v>71040.780175000036</v>
      </c>
      <c r="E17" s="84">
        <f t="shared" si="12"/>
        <v>663.93252499999994</v>
      </c>
      <c r="F17" s="85">
        <f t="shared" si="1"/>
        <v>1184.0130029166673</v>
      </c>
      <c r="G17" s="89">
        <f t="shared" si="2"/>
        <v>1847.9455279166673</v>
      </c>
      <c r="J17" s="87" t="s">
        <v>226</v>
      </c>
      <c r="K17" s="83">
        <f t="shared" ref="K17:K69" si="16">K16-L17</f>
        <v>11814.323966666667</v>
      </c>
      <c r="L17" s="84">
        <f t="shared" si="13"/>
        <v>99.280033333333321</v>
      </c>
      <c r="M17" s="85">
        <f t="shared" si="3"/>
        <v>196.90539944444447</v>
      </c>
      <c r="N17" s="89">
        <f t="shared" si="4"/>
        <v>296.18543277777781</v>
      </c>
      <c r="S17" s="87" t="s">
        <v>226</v>
      </c>
      <c r="T17" s="83"/>
      <c r="U17" s="84">
        <f t="shared" si="14"/>
        <v>0</v>
      </c>
      <c r="V17" s="85">
        <f t="shared" si="5"/>
        <v>0</v>
      </c>
      <c r="W17" s="89">
        <f t="shared" si="6"/>
        <v>0</v>
      </c>
      <c r="Z17" s="87" t="s">
        <v>226</v>
      </c>
      <c r="AA17" s="83">
        <f t="shared" si="7"/>
        <v>82855.104141666699</v>
      </c>
      <c r="AB17" s="83">
        <f t="shared" si="8"/>
        <v>763.21255833333328</v>
      </c>
      <c r="AC17" s="83">
        <f t="shared" si="9"/>
        <v>1380.9184023611119</v>
      </c>
      <c r="AD17" s="83">
        <f t="shared" si="10"/>
        <v>2144.1309606944451</v>
      </c>
      <c r="AF17" s="88">
        <f t="shared" si="15"/>
        <v>0</v>
      </c>
    </row>
    <row r="18" spans="2:32" x14ac:dyDescent="0.25">
      <c r="C18" s="87" t="s">
        <v>227</v>
      </c>
      <c r="D18" s="83">
        <f t="shared" si="11"/>
        <v>70376.84765000004</v>
      </c>
      <c r="E18" s="84">
        <f t="shared" si="12"/>
        <v>663.93252499999994</v>
      </c>
      <c r="F18" s="85">
        <f t="shared" si="1"/>
        <v>1172.9474608333342</v>
      </c>
      <c r="G18" s="89">
        <f t="shared" si="2"/>
        <v>1836.8799858333341</v>
      </c>
      <c r="J18" s="87" t="s">
        <v>227</v>
      </c>
      <c r="K18" s="83">
        <f t="shared" si="16"/>
        <v>11715.043933333334</v>
      </c>
      <c r="L18" s="84">
        <f t="shared" si="13"/>
        <v>99.280033333333321</v>
      </c>
      <c r="M18" s="85">
        <f t="shared" si="3"/>
        <v>195.25073222222224</v>
      </c>
      <c r="N18" s="89">
        <f t="shared" si="4"/>
        <v>294.53076555555555</v>
      </c>
      <c r="S18" s="87" t="s">
        <v>227</v>
      </c>
      <c r="T18" s="83"/>
      <c r="U18" s="84">
        <f t="shared" si="14"/>
        <v>0</v>
      </c>
      <c r="V18" s="85">
        <f t="shared" si="5"/>
        <v>0</v>
      </c>
      <c r="W18" s="89">
        <f t="shared" si="6"/>
        <v>0</v>
      </c>
      <c r="Z18" s="87" t="s">
        <v>227</v>
      </c>
      <c r="AA18" s="83">
        <f t="shared" si="7"/>
        <v>82091.891583333374</v>
      </c>
      <c r="AB18" s="83">
        <f t="shared" si="8"/>
        <v>763.21255833333328</v>
      </c>
      <c r="AC18" s="83">
        <f t="shared" si="9"/>
        <v>1368.1981930555564</v>
      </c>
      <c r="AD18" s="83">
        <f t="shared" si="10"/>
        <v>2131.4107513888898</v>
      </c>
      <c r="AF18" s="88">
        <f t="shared" si="15"/>
        <v>0</v>
      </c>
    </row>
    <row r="19" spans="2:32" x14ac:dyDescent="0.25">
      <c r="C19" s="87" t="s">
        <v>228</v>
      </c>
      <c r="D19" s="83">
        <f t="shared" si="11"/>
        <v>69712.915125000043</v>
      </c>
      <c r="E19" s="84">
        <f t="shared" si="12"/>
        <v>663.93252499999994</v>
      </c>
      <c r="F19" s="85">
        <f t="shared" si="1"/>
        <v>1161.8819187500008</v>
      </c>
      <c r="G19" s="89">
        <f t="shared" si="2"/>
        <v>1825.8144437500007</v>
      </c>
      <c r="J19" s="87" t="s">
        <v>228</v>
      </c>
      <c r="K19" s="83">
        <f t="shared" si="16"/>
        <v>11615.763900000002</v>
      </c>
      <c r="L19" s="84">
        <f t="shared" si="13"/>
        <v>99.280033333333321</v>
      </c>
      <c r="M19" s="85">
        <f t="shared" si="3"/>
        <v>193.59606500000004</v>
      </c>
      <c r="N19" s="89">
        <f t="shared" si="4"/>
        <v>292.87609833333335</v>
      </c>
      <c r="S19" s="87" t="s">
        <v>228</v>
      </c>
      <c r="T19" s="83"/>
      <c r="U19" s="84">
        <f t="shared" si="14"/>
        <v>0</v>
      </c>
      <c r="V19" s="85">
        <f t="shared" si="5"/>
        <v>0</v>
      </c>
      <c r="W19" s="89">
        <f t="shared" si="6"/>
        <v>0</v>
      </c>
      <c r="Z19" s="87" t="s">
        <v>228</v>
      </c>
      <c r="AA19" s="83">
        <f t="shared" si="7"/>
        <v>81328.679025000049</v>
      </c>
      <c r="AB19" s="83">
        <f t="shared" si="8"/>
        <v>763.21255833333328</v>
      </c>
      <c r="AC19" s="83">
        <f t="shared" si="9"/>
        <v>1355.4779837500007</v>
      </c>
      <c r="AD19" s="83">
        <f t="shared" si="10"/>
        <v>2118.6905420833341</v>
      </c>
      <c r="AF19" s="88">
        <f t="shared" si="15"/>
        <v>0</v>
      </c>
    </row>
    <row r="20" spans="2:32" x14ac:dyDescent="0.25">
      <c r="C20" s="87" t="s">
        <v>229</v>
      </c>
      <c r="D20" s="83">
        <f t="shared" si="11"/>
        <v>69048.982600000047</v>
      </c>
      <c r="E20" s="84">
        <f t="shared" si="12"/>
        <v>663.93252499999994</v>
      </c>
      <c r="F20" s="85">
        <f t="shared" si="1"/>
        <v>1150.8163766666676</v>
      </c>
      <c r="G20" s="89">
        <f t="shared" si="2"/>
        <v>1814.7489016666675</v>
      </c>
      <c r="J20" s="87" t="s">
        <v>229</v>
      </c>
      <c r="K20" s="83">
        <f t="shared" si="16"/>
        <v>11516.483866666669</v>
      </c>
      <c r="L20" s="84">
        <f t="shared" si="13"/>
        <v>99.280033333333321</v>
      </c>
      <c r="M20" s="85">
        <f t="shared" si="3"/>
        <v>191.94139777777784</v>
      </c>
      <c r="N20" s="89">
        <f t="shared" si="4"/>
        <v>291.22143111111114</v>
      </c>
      <c r="S20" s="87" t="s">
        <v>229</v>
      </c>
      <c r="T20" s="83"/>
      <c r="U20" s="84">
        <f t="shared" si="14"/>
        <v>0</v>
      </c>
      <c r="V20" s="85">
        <f t="shared" si="5"/>
        <v>0</v>
      </c>
      <c r="W20" s="89">
        <f t="shared" si="6"/>
        <v>0</v>
      </c>
      <c r="Z20" s="87" t="s">
        <v>229</v>
      </c>
      <c r="AA20" s="83">
        <f t="shared" si="7"/>
        <v>80565.466466666723</v>
      </c>
      <c r="AB20" s="83">
        <f t="shared" si="8"/>
        <v>763.21255833333328</v>
      </c>
      <c r="AC20" s="83">
        <f t="shared" si="9"/>
        <v>1342.7577744444454</v>
      </c>
      <c r="AD20" s="83">
        <f t="shared" si="10"/>
        <v>2105.9703327777788</v>
      </c>
      <c r="AF20" s="88">
        <f t="shared" si="15"/>
        <v>0</v>
      </c>
    </row>
    <row r="21" spans="2:32" x14ac:dyDescent="0.25">
      <c r="C21" s="87" t="s">
        <v>230</v>
      </c>
      <c r="D21" s="83">
        <f t="shared" si="11"/>
        <v>68385.05007500005</v>
      </c>
      <c r="E21" s="84">
        <f t="shared" si="12"/>
        <v>663.93252499999994</v>
      </c>
      <c r="F21" s="85">
        <f t="shared" si="1"/>
        <v>1139.7508345833342</v>
      </c>
      <c r="G21" s="89">
        <f t="shared" si="2"/>
        <v>1803.6833595833341</v>
      </c>
      <c r="J21" s="87" t="s">
        <v>230</v>
      </c>
      <c r="K21" s="83">
        <f t="shared" si="16"/>
        <v>11417.203833333337</v>
      </c>
      <c r="L21" s="84">
        <f t="shared" si="13"/>
        <v>99.280033333333321</v>
      </c>
      <c r="M21" s="85">
        <f t="shared" si="3"/>
        <v>190.28673055555564</v>
      </c>
      <c r="N21" s="89">
        <f t="shared" si="4"/>
        <v>289.56676388888894</v>
      </c>
      <c r="S21" s="87" t="s">
        <v>230</v>
      </c>
      <c r="T21" s="83"/>
      <c r="U21" s="84">
        <f t="shared" si="14"/>
        <v>0</v>
      </c>
      <c r="V21" s="85">
        <f t="shared" si="5"/>
        <v>0</v>
      </c>
      <c r="W21" s="89">
        <f t="shared" si="6"/>
        <v>0</v>
      </c>
      <c r="Z21" s="87" t="s">
        <v>230</v>
      </c>
      <c r="AA21" s="83">
        <f t="shared" si="7"/>
        <v>79802.253908333383</v>
      </c>
      <c r="AB21" s="83">
        <f t="shared" si="8"/>
        <v>763.21255833333328</v>
      </c>
      <c r="AC21" s="83">
        <f t="shared" si="9"/>
        <v>1330.0375651388897</v>
      </c>
      <c r="AD21" s="83">
        <f t="shared" si="10"/>
        <v>2093.2501234722231</v>
      </c>
      <c r="AF21" s="88">
        <f t="shared" si="15"/>
        <v>0</v>
      </c>
    </row>
    <row r="22" spans="2:32" x14ac:dyDescent="0.25">
      <c r="C22" s="87" t="s">
        <v>231</v>
      </c>
      <c r="D22" s="83">
        <f t="shared" si="11"/>
        <v>67721.117550000054</v>
      </c>
      <c r="E22" s="84">
        <f t="shared" si="12"/>
        <v>663.93252499999994</v>
      </c>
      <c r="F22" s="85">
        <f t="shared" si="1"/>
        <v>1128.685292500001</v>
      </c>
      <c r="G22" s="89">
        <f t="shared" si="2"/>
        <v>1792.6178175000009</v>
      </c>
      <c r="J22" s="87" t="s">
        <v>231</v>
      </c>
      <c r="K22" s="83">
        <f t="shared" si="16"/>
        <v>11317.923800000004</v>
      </c>
      <c r="L22" s="84">
        <f t="shared" si="13"/>
        <v>99.280033333333321</v>
      </c>
      <c r="M22" s="85">
        <f t="shared" si="3"/>
        <v>188.63206333333343</v>
      </c>
      <c r="N22" s="89">
        <f t="shared" si="4"/>
        <v>287.91209666666674</v>
      </c>
      <c r="S22" s="87" t="s">
        <v>231</v>
      </c>
      <c r="T22" s="83"/>
      <c r="U22" s="84">
        <f t="shared" si="14"/>
        <v>0</v>
      </c>
      <c r="V22" s="85">
        <f t="shared" si="5"/>
        <v>0</v>
      </c>
      <c r="W22" s="89">
        <f t="shared" si="6"/>
        <v>0</v>
      </c>
      <c r="Z22" s="87" t="s">
        <v>231</v>
      </c>
      <c r="AA22" s="83">
        <f t="shared" si="7"/>
        <v>79039.041350000058</v>
      </c>
      <c r="AB22" s="83">
        <f t="shared" si="8"/>
        <v>763.21255833333328</v>
      </c>
      <c r="AC22" s="83">
        <f t="shared" si="9"/>
        <v>1317.3173558333344</v>
      </c>
      <c r="AD22" s="83">
        <f t="shared" si="10"/>
        <v>2080.5299141666678</v>
      </c>
      <c r="AF22" s="88">
        <f t="shared" si="15"/>
        <v>0</v>
      </c>
    </row>
    <row r="23" spans="2:32" x14ac:dyDescent="0.25">
      <c r="C23" s="87" t="s">
        <v>232</v>
      </c>
      <c r="D23" s="83">
        <f t="shared" si="11"/>
        <v>67057.185025000057</v>
      </c>
      <c r="E23" s="84">
        <f t="shared" si="12"/>
        <v>663.93252499999994</v>
      </c>
      <c r="F23" s="85">
        <f t="shared" si="1"/>
        <v>1117.6197504166678</v>
      </c>
      <c r="G23" s="89">
        <f t="shared" si="2"/>
        <v>1781.5522754166677</v>
      </c>
      <c r="J23" s="87" t="s">
        <v>232</v>
      </c>
      <c r="K23" s="83">
        <f t="shared" si="16"/>
        <v>11218.643766666672</v>
      </c>
      <c r="L23" s="84">
        <f t="shared" si="13"/>
        <v>99.280033333333321</v>
      </c>
      <c r="M23" s="85">
        <f t="shared" si="3"/>
        <v>186.97739611111118</v>
      </c>
      <c r="N23" s="89">
        <f t="shared" si="4"/>
        <v>286.25742944444448</v>
      </c>
      <c r="S23" s="87" t="s">
        <v>232</v>
      </c>
      <c r="T23" s="83"/>
      <c r="U23" s="84">
        <f t="shared" si="14"/>
        <v>0</v>
      </c>
      <c r="V23" s="85">
        <f t="shared" si="5"/>
        <v>0</v>
      </c>
      <c r="W23" s="89">
        <f t="shared" si="6"/>
        <v>0</v>
      </c>
      <c r="Z23" s="87" t="s">
        <v>232</v>
      </c>
      <c r="AA23" s="83">
        <f t="shared" si="7"/>
        <v>78275.828791666732</v>
      </c>
      <c r="AB23" s="83">
        <f t="shared" si="8"/>
        <v>763.21255833333328</v>
      </c>
      <c r="AC23" s="83">
        <f t="shared" si="9"/>
        <v>1304.5971465277789</v>
      </c>
      <c r="AD23" s="83">
        <f t="shared" si="10"/>
        <v>2067.8097048611121</v>
      </c>
      <c r="AF23" s="88">
        <f t="shared" si="15"/>
        <v>0</v>
      </c>
    </row>
    <row r="24" spans="2:32" x14ac:dyDescent="0.25">
      <c r="C24" s="87" t="s">
        <v>233</v>
      </c>
      <c r="D24" s="83">
        <f t="shared" si="11"/>
        <v>66393.252500000061</v>
      </c>
      <c r="E24" s="84">
        <f t="shared" si="12"/>
        <v>663.93252499999994</v>
      </c>
      <c r="F24" s="85">
        <f t="shared" si="1"/>
        <v>1106.5542083333344</v>
      </c>
      <c r="G24" s="89">
        <f t="shared" si="2"/>
        <v>1770.4867333333343</v>
      </c>
      <c r="J24" s="87" t="s">
        <v>233</v>
      </c>
      <c r="K24" s="83">
        <f t="shared" si="16"/>
        <v>11119.363733333339</v>
      </c>
      <c r="L24" s="84">
        <f t="shared" si="13"/>
        <v>99.280033333333321</v>
      </c>
      <c r="M24" s="85">
        <f t="shared" si="3"/>
        <v>185.32272888888897</v>
      </c>
      <c r="N24" s="89">
        <f t="shared" si="4"/>
        <v>284.60276222222228</v>
      </c>
      <c r="S24" s="87" t="s">
        <v>233</v>
      </c>
      <c r="T24" s="83"/>
      <c r="U24" s="84">
        <f t="shared" si="14"/>
        <v>0</v>
      </c>
      <c r="V24" s="85">
        <f t="shared" si="5"/>
        <v>0</v>
      </c>
      <c r="W24" s="89">
        <f t="shared" si="6"/>
        <v>0</v>
      </c>
      <c r="Z24" s="87" t="s">
        <v>233</v>
      </c>
      <c r="AA24" s="83">
        <f t="shared" si="7"/>
        <v>77512.616233333392</v>
      </c>
      <c r="AB24" s="83">
        <f t="shared" si="8"/>
        <v>763.21255833333328</v>
      </c>
      <c r="AC24" s="83">
        <f t="shared" si="9"/>
        <v>1291.8769372222234</v>
      </c>
      <c r="AD24" s="83">
        <f t="shared" si="10"/>
        <v>2055.0894955555568</v>
      </c>
      <c r="AF24" s="88">
        <f t="shared" si="15"/>
        <v>0</v>
      </c>
    </row>
    <row r="25" spans="2:32" x14ac:dyDescent="0.25">
      <c r="C25" s="87" t="s">
        <v>234</v>
      </c>
      <c r="D25" s="83">
        <f>D24-E25</f>
        <v>65729.319975000064</v>
      </c>
      <c r="E25" s="84">
        <f t="shared" si="12"/>
        <v>663.93252499999994</v>
      </c>
      <c r="F25" s="85">
        <f t="shared" si="1"/>
        <v>1095.4886662500012</v>
      </c>
      <c r="G25" s="89">
        <f t="shared" si="2"/>
        <v>1759.4211912500011</v>
      </c>
      <c r="J25" s="87" t="s">
        <v>234</v>
      </c>
      <c r="K25" s="83">
        <f t="shared" si="16"/>
        <v>11020.083700000007</v>
      </c>
      <c r="L25" s="84">
        <f t="shared" si="13"/>
        <v>99.280033333333321</v>
      </c>
      <c r="M25" s="85">
        <f t="shared" si="3"/>
        <v>183.66806166666677</v>
      </c>
      <c r="N25" s="89">
        <f t="shared" si="4"/>
        <v>282.94809500000008</v>
      </c>
      <c r="S25" s="87" t="s">
        <v>234</v>
      </c>
      <c r="T25" s="83"/>
      <c r="U25" s="84">
        <f t="shared" si="14"/>
        <v>0</v>
      </c>
      <c r="V25" s="85">
        <f t="shared" si="5"/>
        <v>0</v>
      </c>
      <c r="W25" s="89">
        <f t="shared" si="6"/>
        <v>0</v>
      </c>
      <c r="Z25" s="87" t="s">
        <v>234</v>
      </c>
      <c r="AA25" s="83">
        <f t="shared" si="7"/>
        <v>76749.403675000067</v>
      </c>
      <c r="AB25" s="83">
        <f t="shared" si="8"/>
        <v>763.21255833333328</v>
      </c>
      <c r="AC25" s="83">
        <f t="shared" si="9"/>
        <v>1279.1567279166679</v>
      </c>
      <c r="AD25" s="83">
        <f t="shared" si="10"/>
        <v>2042.3692862500011</v>
      </c>
      <c r="AF25" s="88">
        <f t="shared" si="15"/>
        <v>0</v>
      </c>
    </row>
    <row r="26" spans="2:32" x14ac:dyDescent="0.25">
      <c r="C26" s="87" t="s">
        <v>235</v>
      </c>
      <c r="D26" s="191">
        <f>D25-E25-30000</f>
        <v>35065.387450000067</v>
      </c>
      <c r="E26" s="192">
        <f>D26/(120-22)</f>
        <v>357.81007602040887</v>
      </c>
      <c r="F26" s="193">
        <f>D26*$C$2/12</f>
        <v>584.42312416666789</v>
      </c>
      <c r="G26" s="194">
        <f t="shared" si="2"/>
        <v>942.23320018707682</v>
      </c>
      <c r="J26" s="87" t="s">
        <v>235</v>
      </c>
      <c r="K26" s="83">
        <f t="shared" si="16"/>
        <v>10920.803666666674</v>
      </c>
      <c r="L26" s="84">
        <f t="shared" si="13"/>
        <v>99.280033333333321</v>
      </c>
      <c r="M26" s="85">
        <f t="shared" si="3"/>
        <v>182.01339444444457</v>
      </c>
      <c r="N26" s="89">
        <f t="shared" si="4"/>
        <v>281.29342777777788</v>
      </c>
      <c r="S26" s="87" t="s">
        <v>235</v>
      </c>
      <c r="T26" s="83"/>
      <c r="U26" s="84">
        <f t="shared" si="14"/>
        <v>0</v>
      </c>
      <c r="V26" s="85">
        <f t="shared" si="5"/>
        <v>0</v>
      </c>
      <c r="W26" s="89">
        <f t="shared" si="6"/>
        <v>0</v>
      </c>
      <c r="Z26" s="87" t="s">
        <v>235</v>
      </c>
      <c r="AA26" s="83">
        <f t="shared" si="7"/>
        <v>45986.191116666741</v>
      </c>
      <c r="AB26" s="83">
        <f t="shared" si="8"/>
        <v>457.09010935374221</v>
      </c>
      <c r="AC26" s="83">
        <f t="shared" si="9"/>
        <v>766.43651861111243</v>
      </c>
      <c r="AD26" s="83">
        <f t="shared" si="10"/>
        <v>1223.5266279648547</v>
      </c>
      <c r="AF26" s="88">
        <f t="shared" si="15"/>
        <v>0</v>
      </c>
    </row>
    <row r="27" spans="2:32" x14ac:dyDescent="0.25">
      <c r="C27" s="87" t="s">
        <v>236</v>
      </c>
      <c r="D27" s="83">
        <f t="shared" si="11"/>
        <v>34707.577373979657</v>
      </c>
      <c r="E27" s="84">
        <f t="shared" si="12"/>
        <v>357.81007602040887</v>
      </c>
      <c r="F27" s="85">
        <f>D27*$C$2/12</f>
        <v>578.45962289966099</v>
      </c>
      <c r="G27" s="89">
        <f t="shared" si="2"/>
        <v>936.26969892006991</v>
      </c>
      <c r="H27" s="88">
        <f>SUM(F16:F27)</f>
        <v>12615.718803316338</v>
      </c>
      <c r="J27" s="87" t="s">
        <v>236</v>
      </c>
      <c r="K27" s="83">
        <f t="shared" si="16"/>
        <v>10821.523633333341</v>
      </c>
      <c r="L27" s="84">
        <f t="shared" si="13"/>
        <v>99.280033333333321</v>
      </c>
      <c r="M27" s="85">
        <f t="shared" si="3"/>
        <v>180.35872722222237</v>
      </c>
      <c r="N27" s="89">
        <f t="shared" si="4"/>
        <v>279.63876055555568</v>
      </c>
      <c r="O27" s="88">
        <f>SUM(M16:M27)</f>
        <v>2273.5127633333345</v>
      </c>
      <c r="S27" s="87" t="s">
        <v>236</v>
      </c>
      <c r="T27" s="83"/>
      <c r="U27" s="84">
        <f t="shared" si="14"/>
        <v>0</v>
      </c>
      <c r="V27" s="85">
        <f t="shared" si="5"/>
        <v>0</v>
      </c>
      <c r="W27" s="89">
        <f t="shared" si="6"/>
        <v>0</v>
      </c>
      <c r="X27" s="88">
        <f>SUM(V16:V27)</f>
        <v>0</v>
      </c>
      <c r="Z27" s="87" t="s">
        <v>236</v>
      </c>
      <c r="AA27" s="83">
        <f t="shared" si="7"/>
        <v>45529.101007313002</v>
      </c>
      <c r="AB27" s="83">
        <f t="shared" si="8"/>
        <v>457.09010935374221</v>
      </c>
      <c r="AC27" s="83">
        <f t="shared" si="9"/>
        <v>758.81835012188333</v>
      </c>
      <c r="AD27" s="83">
        <f t="shared" si="10"/>
        <v>1215.9084594756255</v>
      </c>
      <c r="AE27" s="88">
        <f>SUM(AC16:AC27)</f>
        <v>14889.231566649671</v>
      </c>
      <c r="AF27" s="88">
        <f t="shared" si="15"/>
        <v>14889.231566649672</v>
      </c>
    </row>
    <row r="28" spans="2:32" x14ac:dyDescent="0.25">
      <c r="B28">
        <f>B16+1</f>
        <v>2027</v>
      </c>
      <c r="C28" s="82" t="s">
        <v>225</v>
      </c>
      <c r="D28" s="83">
        <f t="shared" si="11"/>
        <v>34349.767297959246</v>
      </c>
      <c r="E28" s="84">
        <f t="shared" si="12"/>
        <v>357.81007602040887</v>
      </c>
      <c r="F28" s="85">
        <f t="shared" ref="F28:F68" si="17">D28*$C$2/12</f>
        <v>572.49612163265408</v>
      </c>
      <c r="G28" s="91">
        <f t="shared" si="2"/>
        <v>930.30619765306301</v>
      </c>
      <c r="I28">
        <f>I16+1</f>
        <v>2027</v>
      </c>
      <c r="J28" s="82" t="s">
        <v>225</v>
      </c>
      <c r="K28" s="83">
        <f t="shared" si="16"/>
        <v>10722.243600000009</v>
      </c>
      <c r="L28" s="84">
        <f t="shared" si="13"/>
        <v>99.280033333333321</v>
      </c>
      <c r="M28" s="85">
        <f t="shared" si="3"/>
        <v>178.70406000000014</v>
      </c>
      <c r="N28" s="91">
        <f t="shared" si="4"/>
        <v>277.98409333333348</v>
      </c>
      <c r="R28">
        <f>R16+1</f>
        <v>2027</v>
      </c>
      <c r="S28" s="82" t="s">
        <v>225</v>
      </c>
      <c r="T28" s="83">
        <f>'ам мо'!H4</f>
        <v>9410.239333333333</v>
      </c>
      <c r="U28" s="84">
        <f>T28/120</f>
        <v>78.418661111111106</v>
      </c>
      <c r="V28" s="85">
        <f t="shared" si="5"/>
        <v>156.83732222222224</v>
      </c>
      <c r="W28" s="91">
        <f t="shared" si="6"/>
        <v>235.25598333333335</v>
      </c>
      <c r="Y28">
        <v>2029</v>
      </c>
      <c r="Z28" s="82" t="s">
        <v>225</v>
      </c>
      <c r="AA28" s="83">
        <f t="shared" si="7"/>
        <v>54482.250231292586</v>
      </c>
      <c r="AB28" s="83">
        <f t="shared" si="8"/>
        <v>535.50877046485334</v>
      </c>
      <c r="AC28" s="83">
        <f t="shared" si="9"/>
        <v>908.03750385487649</v>
      </c>
      <c r="AD28" s="83">
        <f t="shared" si="10"/>
        <v>1443.5462743197299</v>
      </c>
      <c r="AF28" s="88">
        <f t="shared" si="15"/>
        <v>0</v>
      </c>
    </row>
    <row r="29" spans="2:32" x14ac:dyDescent="0.25">
      <c r="C29" s="87" t="s">
        <v>226</v>
      </c>
      <c r="D29" s="83">
        <f t="shared" si="11"/>
        <v>33991.957221938836</v>
      </c>
      <c r="E29" s="84">
        <f t="shared" si="12"/>
        <v>357.81007602040887</v>
      </c>
      <c r="F29" s="85">
        <f t="shared" si="17"/>
        <v>566.53262036564729</v>
      </c>
      <c r="G29" s="91">
        <f t="shared" si="2"/>
        <v>924.3426963860561</v>
      </c>
      <c r="J29" s="87" t="s">
        <v>226</v>
      </c>
      <c r="K29" s="83">
        <f t="shared" si="16"/>
        <v>10622.963566666676</v>
      </c>
      <c r="L29" s="84">
        <f t="shared" si="13"/>
        <v>99.280033333333321</v>
      </c>
      <c r="M29" s="85">
        <f t="shared" si="3"/>
        <v>177.04939277777794</v>
      </c>
      <c r="N29" s="91">
        <f t="shared" si="4"/>
        <v>276.32942611111127</v>
      </c>
      <c r="S29" s="87" t="s">
        <v>226</v>
      </c>
      <c r="T29" s="83">
        <f t="shared" ref="T29:T69" si="18">T28-U29</f>
        <v>9331.8206722222221</v>
      </c>
      <c r="U29" s="84">
        <f t="shared" si="14"/>
        <v>78.418661111111106</v>
      </c>
      <c r="V29" s="85">
        <f t="shared" si="5"/>
        <v>155.53034453703705</v>
      </c>
      <c r="W29" s="91">
        <f t="shared" si="6"/>
        <v>233.94900564814816</v>
      </c>
      <c r="Z29" s="87" t="s">
        <v>226</v>
      </c>
      <c r="AA29" s="83">
        <f t="shared" si="7"/>
        <v>53946.741460827732</v>
      </c>
      <c r="AB29" s="83">
        <f t="shared" si="8"/>
        <v>535.50877046485334</v>
      </c>
      <c r="AC29" s="83">
        <f t="shared" si="9"/>
        <v>899.11235768046231</v>
      </c>
      <c r="AD29" s="83">
        <f t="shared" si="10"/>
        <v>1434.6211281453157</v>
      </c>
      <c r="AF29" s="88">
        <f t="shared" si="15"/>
        <v>0</v>
      </c>
    </row>
    <row r="30" spans="2:32" x14ac:dyDescent="0.25">
      <c r="C30" s="87" t="s">
        <v>227</v>
      </c>
      <c r="D30" s="83">
        <f t="shared" si="11"/>
        <v>33634.147145918425</v>
      </c>
      <c r="E30" s="84">
        <f t="shared" si="12"/>
        <v>357.81007602040887</v>
      </c>
      <c r="F30" s="85">
        <f t="shared" si="17"/>
        <v>560.5691190986405</v>
      </c>
      <c r="G30" s="91">
        <f t="shared" si="2"/>
        <v>918.37919511904943</v>
      </c>
      <c r="J30" s="87" t="s">
        <v>227</v>
      </c>
      <c r="K30" s="83">
        <f t="shared" si="16"/>
        <v>10523.683533333344</v>
      </c>
      <c r="L30" s="84">
        <f t="shared" si="13"/>
        <v>99.280033333333321</v>
      </c>
      <c r="M30" s="85">
        <f t="shared" si="3"/>
        <v>175.39472555555574</v>
      </c>
      <c r="N30" s="91">
        <f t="shared" si="4"/>
        <v>274.67475888888907</v>
      </c>
      <c r="S30" s="87" t="s">
        <v>227</v>
      </c>
      <c r="T30" s="83">
        <f t="shared" si="18"/>
        <v>9253.4020111111113</v>
      </c>
      <c r="U30" s="84">
        <f t="shared" si="14"/>
        <v>78.418661111111106</v>
      </c>
      <c r="V30" s="85">
        <f t="shared" si="5"/>
        <v>154.22336685185186</v>
      </c>
      <c r="W30" s="91">
        <f t="shared" si="6"/>
        <v>232.64202796296297</v>
      </c>
      <c r="Z30" s="87" t="s">
        <v>227</v>
      </c>
      <c r="AA30" s="83">
        <f t="shared" si="7"/>
        <v>53411.232690362878</v>
      </c>
      <c r="AB30" s="83">
        <f t="shared" si="8"/>
        <v>535.50877046485334</v>
      </c>
      <c r="AC30" s="83">
        <f t="shared" si="9"/>
        <v>890.18721150604813</v>
      </c>
      <c r="AD30" s="83">
        <f t="shared" si="10"/>
        <v>1425.6959819709014</v>
      </c>
      <c r="AF30" s="88">
        <f t="shared" si="15"/>
        <v>0</v>
      </c>
    </row>
    <row r="31" spans="2:32" x14ac:dyDescent="0.25">
      <c r="C31" s="87" t="s">
        <v>228</v>
      </c>
      <c r="D31" s="83">
        <f t="shared" si="11"/>
        <v>33276.337069898014</v>
      </c>
      <c r="E31" s="84">
        <f t="shared" si="12"/>
        <v>357.81007602040887</v>
      </c>
      <c r="F31" s="85">
        <f t="shared" si="17"/>
        <v>554.60561783163359</v>
      </c>
      <c r="G31" s="91">
        <f t="shared" si="2"/>
        <v>912.41569385204252</v>
      </c>
      <c r="J31" s="87" t="s">
        <v>228</v>
      </c>
      <c r="K31" s="83">
        <f t="shared" si="16"/>
        <v>10424.403500000011</v>
      </c>
      <c r="L31" s="84">
        <f t="shared" si="13"/>
        <v>99.280033333333321</v>
      </c>
      <c r="M31" s="85">
        <f t="shared" si="3"/>
        <v>173.74005833333354</v>
      </c>
      <c r="N31" s="91">
        <f t="shared" si="4"/>
        <v>273.02009166666687</v>
      </c>
      <c r="S31" s="87" t="s">
        <v>228</v>
      </c>
      <c r="T31" s="83">
        <f t="shared" si="18"/>
        <v>9174.9833500000004</v>
      </c>
      <c r="U31" s="84">
        <f t="shared" si="14"/>
        <v>78.418661111111106</v>
      </c>
      <c r="V31" s="85">
        <f t="shared" si="5"/>
        <v>152.91638916666668</v>
      </c>
      <c r="W31" s="91">
        <f t="shared" si="6"/>
        <v>231.33505027777778</v>
      </c>
      <c r="Z31" s="87" t="s">
        <v>228</v>
      </c>
      <c r="AA31" s="83">
        <f t="shared" si="7"/>
        <v>52875.723919898031</v>
      </c>
      <c r="AB31" s="83">
        <f t="shared" si="8"/>
        <v>535.50877046485334</v>
      </c>
      <c r="AC31" s="83">
        <f t="shared" si="9"/>
        <v>881.26206533163383</v>
      </c>
      <c r="AD31" s="83">
        <f t="shared" si="10"/>
        <v>1416.7708357964873</v>
      </c>
      <c r="AF31" s="88">
        <f t="shared" si="15"/>
        <v>0</v>
      </c>
    </row>
    <row r="32" spans="2:32" x14ac:dyDescent="0.25">
      <c r="C32" s="87" t="s">
        <v>229</v>
      </c>
      <c r="D32" s="83">
        <f t="shared" si="11"/>
        <v>32918.526993877604</v>
      </c>
      <c r="E32" s="84">
        <f t="shared" si="12"/>
        <v>357.81007602040887</v>
      </c>
      <c r="F32" s="85">
        <f t="shared" si="17"/>
        <v>548.64211656462669</v>
      </c>
      <c r="G32" s="91">
        <f t="shared" si="2"/>
        <v>906.45219258503562</v>
      </c>
      <c r="J32" s="87" t="s">
        <v>229</v>
      </c>
      <c r="K32" s="83">
        <f t="shared" si="16"/>
        <v>10325.123466666679</v>
      </c>
      <c r="L32" s="84">
        <f t="shared" si="13"/>
        <v>99.280033333333321</v>
      </c>
      <c r="M32" s="85">
        <f t="shared" si="3"/>
        <v>172.08539111111133</v>
      </c>
      <c r="N32" s="91">
        <f t="shared" si="4"/>
        <v>271.36542444444467</v>
      </c>
      <c r="S32" s="87" t="s">
        <v>229</v>
      </c>
      <c r="T32" s="83">
        <f t="shared" si="18"/>
        <v>9096.5646888888896</v>
      </c>
      <c r="U32" s="84">
        <f t="shared" si="14"/>
        <v>78.418661111111106</v>
      </c>
      <c r="V32" s="85">
        <f t="shared" si="5"/>
        <v>151.60941148148149</v>
      </c>
      <c r="W32" s="91">
        <f t="shared" si="6"/>
        <v>230.02807259259259</v>
      </c>
      <c r="Z32" s="87" t="s">
        <v>229</v>
      </c>
      <c r="AA32" s="83">
        <f t="shared" si="7"/>
        <v>52340.21514943317</v>
      </c>
      <c r="AB32" s="83">
        <f t="shared" si="8"/>
        <v>535.50877046485334</v>
      </c>
      <c r="AC32" s="83">
        <f t="shared" si="9"/>
        <v>872.33691915721954</v>
      </c>
      <c r="AD32" s="83">
        <f t="shared" si="10"/>
        <v>1407.8456896220728</v>
      </c>
      <c r="AF32" s="88">
        <f t="shared" si="15"/>
        <v>0</v>
      </c>
    </row>
    <row r="33" spans="2:32" x14ac:dyDescent="0.25">
      <c r="C33" s="87" t="s">
        <v>230</v>
      </c>
      <c r="D33" s="83">
        <f t="shared" si="11"/>
        <v>32560.716917857193</v>
      </c>
      <c r="E33" s="84">
        <f t="shared" si="12"/>
        <v>357.81007602040887</v>
      </c>
      <c r="F33" s="85">
        <f t="shared" si="17"/>
        <v>542.6786152976199</v>
      </c>
      <c r="G33" s="91">
        <f t="shared" si="2"/>
        <v>900.48869131802871</v>
      </c>
      <c r="J33" s="87" t="s">
        <v>230</v>
      </c>
      <c r="K33" s="83">
        <f t="shared" si="16"/>
        <v>10225.843433333346</v>
      </c>
      <c r="L33" s="84">
        <f t="shared" si="13"/>
        <v>99.280033333333321</v>
      </c>
      <c r="M33" s="85">
        <f t="shared" si="3"/>
        <v>170.4307238888891</v>
      </c>
      <c r="N33" s="91">
        <f t="shared" si="4"/>
        <v>269.71075722222241</v>
      </c>
      <c r="S33" s="87" t="s">
        <v>230</v>
      </c>
      <c r="T33" s="83">
        <f t="shared" si="18"/>
        <v>9018.1460277777787</v>
      </c>
      <c r="U33" s="84">
        <f t="shared" si="14"/>
        <v>78.418661111111106</v>
      </c>
      <c r="V33" s="85">
        <f t="shared" si="5"/>
        <v>150.30243379629633</v>
      </c>
      <c r="W33" s="91">
        <f t="shared" si="6"/>
        <v>228.72109490740743</v>
      </c>
      <c r="Z33" s="87" t="s">
        <v>230</v>
      </c>
      <c r="AA33" s="83">
        <f t="shared" si="7"/>
        <v>51804.706378968316</v>
      </c>
      <c r="AB33" s="83">
        <f t="shared" si="8"/>
        <v>535.50877046485334</v>
      </c>
      <c r="AC33" s="83">
        <f t="shared" si="9"/>
        <v>863.41177298280536</v>
      </c>
      <c r="AD33" s="83">
        <f t="shared" si="10"/>
        <v>1398.9205434476585</v>
      </c>
      <c r="AF33" s="88">
        <f t="shared" si="15"/>
        <v>0</v>
      </c>
    </row>
    <row r="34" spans="2:32" x14ac:dyDescent="0.25">
      <c r="C34" s="87" t="s">
        <v>231</v>
      </c>
      <c r="D34" s="83">
        <f t="shared" si="11"/>
        <v>32202.906841836782</v>
      </c>
      <c r="E34" s="84">
        <f t="shared" si="12"/>
        <v>357.81007602040887</v>
      </c>
      <c r="F34" s="85">
        <f t="shared" si="17"/>
        <v>536.71511403061311</v>
      </c>
      <c r="G34" s="91">
        <f t="shared" si="2"/>
        <v>894.52519005102204</v>
      </c>
      <c r="J34" s="87" t="s">
        <v>231</v>
      </c>
      <c r="K34" s="83">
        <f t="shared" si="16"/>
        <v>10126.563400000014</v>
      </c>
      <c r="L34" s="84">
        <f t="shared" si="13"/>
        <v>99.280033333333321</v>
      </c>
      <c r="M34" s="85">
        <f t="shared" si="3"/>
        <v>168.7760566666669</v>
      </c>
      <c r="N34" s="91">
        <f t="shared" si="4"/>
        <v>268.05609000000021</v>
      </c>
      <c r="S34" s="87" t="s">
        <v>231</v>
      </c>
      <c r="T34" s="83">
        <f t="shared" si="18"/>
        <v>8939.7273666666679</v>
      </c>
      <c r="U34" s="84">
        <f t="shared" si="14"/>
        <v>78.418661111111106</v>
      </c>
      <c r="V34" s="85">
        <f t="shared" si="5"/>
        <v>148.99545611111114</v>
      </c>
      <c r="W34" s="91">
        <f t="shared" si="6"/>
        <v>227.41411722222225</v>
      </c>
      <c r="Z34" s="87" t="s">
        <v>231</v>
      </c>
      <c r="AA34" s="83">
        <f t="shared" si="7"/>
        <v>51269.197608503462</v>
      </c>
      <c r="AB34" s="83">
        <f t="shared" si="8"/>
        <v>535.50877046485334</v>
      </c>
      <c r="AC34" s="83">
        <f t="shared" si="9"/>
        <v>854.48662680839118</v>
      </c>
      <c r="AD34" s="83">
        <f t="shared" si="10"/>
        <v>1389.9953972732446</v>
      </c>
      <c r="AF34" s="88">
        <f t="shared" si="15"/>
        <v>0</v>
      </c>
    </row>
    <row r="35" spans="2:32" x14ac:dyDescent="0.25">
      <c r="C35" s="87" t="s">
        <v>232</v>
      </c>
      <c r="D35" s="83">
        <f t="shared" si="11"/>
        <v>31845.096765816372</v>
      </c>
      <c r="E35" s="84">
        <f t="shared" si="12"/>
        <v>357.81007602040887</v>
      </c>
      <c r="F35" s="85">
        <f t="shared" si="17"/>
        <v>530.7516127636062</v>
      </c>
      <c r="G35" s="91">
        <f t="shared" si="2"/>
        <v>888.56168878401513</v>
      </c>
      <c r="J35" s="87" t="s">
        <v>232</v>
      </c>
      <c r="K35" s="83">
        <f t="shared" si="16"/>
        <v>10027.283366666681</v>
      </c>
      <c r="L35" s="84">
        <f t="shared" si="13"/>
        <v>99.280033333333321</v>
      </c>
      <c r="M35" s="85">
        <f t="shared" si="3"/>
        <v>167.1213894444447</v>
      </c>
      <c r="N35" s="91">
        <f t="shared" si="4"/>
        <v>266.40142277777801</v>
      </c>
      <c r="S35" s="87" t="s">
        <v>232</v>
      </c>
      <c r="T35" s="83">
        <f t="shared" si="18"/>
        <v>8861.308705555557</v>
      </c>
      <c r="U35" s="84">
        <f t="shared" si="14"/>
        <v>78.418661111111106</v>
      </c>
      <c r="V35" s="85">
        <f t="shared" si="5"/>
        <v>147.68847842592595</v>
      </c>
      <c r="W35" s="91">
        <f t="shared" si="6"/>
        <v>226.10713953703706</v>
      </c>
      <c r="Z35" s="87" t="s">
        <v>232</v>
      </c>
      <c r="AA35" s="83">
        <f t="shared" si="7"/>
        <v>50733.688838038615</v>
      </c>
      <c r="AB35" s="83">
        <f t="shared" si="8"/>
        <v>535.50877046485334</v>
      </c>
      <c r="AC35" s="83">
        <f t="shared" si="9"/>
        <v>845.56148063397688</v>
      </c>
      <c r="AD35" s="83">
        <f t="shared" si="10"/>
        <v>1381.0702510988301</v>
      </c>
      <c r="AF35" s="88">
        <f t="shared" si="15"/>
        <v>0</v>
      </c>
    </row>
    <row r="36" spans="2:32" x14ac:dyDescent="0.25">
      <c r="C36" s="87" t="s">
        <v>233</v>
      </c>
      <c r="D36" s="83">
        <f t="shared" si="11"/>
        <v>31487.286689795961</v>
      </c>
      <c r="E36" s="84">
        <f t="shared" si="12"/>
        <v>357.81007602040887</v>
      </c>
      <c r="F36" s="85">
        <f t="shared" si="17"/>
        <v>524.78811149659941</v>
      </c>
      <c r="G36" s="91">
        <f t="shared" si="2"/>
        <v>882.59818751700823</v>
      </c>
      <c r="J36" s="87" t="s">
        <v>233</v>
      </c>
      <c r="K36" s="83">
        <f t="shared" si="16"/>
        <v>9928.0033333333486</v>
      </c>
      <c r="L36" s="84">
        <f t="shared" si="13"/>
        <v>99.280033333333321</v>
      </c>
      <c r="M36" s="85">
        <f t="shared" si="3"/>
        <v>165.4667222222225</v>
      </c>
      <c r="N36" s="91">
        <f t="shared" si="4"/>
        <v>264.74675555555581</v>
      </c>
      <c r="S36" s="87" t="s">
        <v>233</v>
      </c>
      <c r="T36" s="83">
        <f t="shared" si="18"/>
        <v>8782.8900444444462</v>
      </c>
      <c r="U36" s="84">
        <f t="shared" si="14"/>
        <v>78.418661111111106</v>
      </c>
      <c r="V36" s="85">
        <f t="shared" si="5"/>
        <v>146.38150074074079</v>
      </c>
      <c r="W36" s="91">
        <f t="shared" si="6"/>
        <v>224.8001618518519</v>
      </c>
      <c r="Z36" s="87" t="s">
        <v>233</v>
      </c>
      <c r="AA36" s="83">
        <f t="shared" si="7"/>
        <v>50198.180067573754</v>
      </c>
      <c r="AB36" s="83">
        <f t="shared" si="8"/>
        <v>535.50877046485334</v>
      </c>
      <c r="AC36" s="83">
        <f t="shared" si="9"/>
        <v>836.6363344595627</v>
      </c>
      <c r="AD36" s="83">
        <f t="shared" si="10"/>
        <v>1372.145104924416</v>
      </c>
      <c r="AF36" s="88">
        <f t="shared" si="15"/>
        <v>0</v>
      </c>
    </row>
    <row r="37" spans="2:32" x14ac:dyDescent="0.25">
      <c r="C37" s="87" t="s">
        <v>234</v>
      </c>
      <c r="D37" s="83">
        <f t="shared" si="11"/>
        <v>31129.476613775551</v>
      </c>
      <c r="E37" s="84">
        <f t="shared" si="12"/>
        <v>357.81007602040887</v>
      </c>
      <c r="F37" s="85">
        <f t="shared" si="17"/>
        <v>518.82461022959251</v>
      </c>
      <c r="G37" s="91">
        <f t="shared" si="2"/>
        <v>876.63468625000132</v>
      </c>
      <c r="J37" s="87" t="s">
        <v>234</v>
      </c>
      <c r="K37" s="83">
        <f t="shared" si="16"/>
        <v>9828.723300000016</v>
      </c>
      <c r="L37" s="84">
        <f t="shared" si="13"/>
        <v>99.280033333333321</v>
      </c>
      <c r="M37" s="85">
        <f t="shared" si="3"/>
        <v>163.81205500000027</v>
      </c>
      <c r="N37" s="91">
        <f t="shared" si="4"/>
        <v>263.09208833333361</v>
      </c>
      <c r="S37" s="87" t="s">
        <v>234</v>
      </c>
      <c r="T37" s="83">
        <f t="shared" si="18"/>
        <v>8704.4713833333353</v>
      </c>
      <c r="U37" s="84">
        <f t="shared" si="14"/>
        <v>78.418661111111106</v>
      </c>
      <c r="V37" s="85">
        <f t="shared" si="5"/>
        <v>145.0745230555556</v>
      </c>
      <c r="W37" s="91">
        <f t="shared" si="6"/>
        <v>223.49318416666671</v>
      </c>
      <c r="Z37" s="87" t="s">
        <v>234</v>
      </c>
      <c r="AA37" s="83">
        <f t="shared" si="7"/>
        <v>49662.6712971089</v>
      </c>
      <c r="AB37" s="83">
        <f t="shared" si="8"/>
        <v>535.50877046485334</v>
      </c>
      <c r="AC37" s="83">
        <f t="shared" si="9"/>
        <v>827.71118828514841</v>
      </c>
      <c r="AD37" s="83">
        <f t="shared" si="10"/>
        <v>1363.2199587500015</v>
      </c>
      <c r="AF37" s="88">
        <f t="shared" si="15"/>
        <v>0</v>
      </c>
    </row>
    <row r="38" spans="2:32" x14ac:dyDescent="0.25">
      <c r="C38" s="87" t="s">
        <v>235</v>
      </c>
      <c r="D38" s="83">
        <f t="shared" si="11"/>
        <v>30771.66653775514</v>
      </c>
      <c r="E38" s="84">
        <f t="shared" si="12"/>
        <v>357.81007602040887</v>
      </c>
      <c r="F38" s="85">
        <f t="shared" si="17"/>
        <v>512.86110896258572</v>
      </c>
      <c r="G38" s="91">
        <f t="shared" si="2"/>
        <v>870.67118498299465</v>
      </c>
      <c r="J38" s="87" t="s">
        <v>235</v>
      </c>
      <c r="K38" s="83">
        <f t="shared" si="16"/>
        <v>9729.4432666666835</v>
      </c>
      <c r="L38" s="84">
        <f t="shared" si="13"/>
        <v>99.280033333333321</v>
      </c>
      <c r="M38" s="85">
        <f t="shared" si="3"/>
        <v>162.15738777777807</v>
      </c>
      <c r="N38" s="91">
        <f t="shared" si="4"/>
        <v>261.43742111111141</v>
      </c>
      <c r="S38" s="87" t="s">
        <v>235</v>
      </c>
      <c r="T38" s="83">
        <f t="shared" si="18"/>
        <v>8626.0527222222245</v>
      </c>
      <c r="U38" s="84">
        <f t="shared" si="14"/>
        <v>78.418661111111106</v>
      </c>
      <c r="V38" s="85">
        <f t="shared" si="5"/>
        <v>143.76754537037041</v>
      </c>
      <c r="W38" s="91">
        <f t="shared" si="6"/>
        <v>222.18620648148152</v>
      </c>
      <c r="Z38" s="87" t="s">
        <v>235</v>
      </c>
      <c r="AA38" s="83">
        <f t="shared" si="7"/>
        <v>49127.162526644046</v>
      </c>
      <c r="AB38" s="83">
        <f t="shared" si="8"/>
        <v>535.50877046485334</v>
      </c>
      <c r="AC38" s="83">
        <f t="shared" si="9"/>
        <v>818.78604211073423</v>
      </c>
      <c r="AD38" s="83">
        <f t="shared" si="10"/>
        <v>1354.2948125755877</v>
      </c>
      <c r="AF38" s="88">
        <f t="shared" si="15"/>
        <v>0</v>
      </c>
    </row>
    <row r="39" spans="2:32" x14ac:dyDescent="0.25">
      <c r="C39" s="87" t="s">
        <v>236</v>
      </c>
      <c r="D39" s="83">
        <f t="shared" si="11"/>
        <v>30413.856461734729</v>
      </c>
      <c r="E39" s="84">
        <f t="shared" si="12"/>
        <v>357.81007602040887</v>
      </c>
      <c r="F39" s="85">
        <f t="shared" si="17"/>
        <v>506.89760769557887</v>
      </c>
      <c r="G39" s="91">
        <f t="shared" si="2"/>
        <v>864.70768371598774</v>
      </c>
      <c r="H39" s="88">
        <f>SUM(F28:F39)</f>
        <v>6476.3623759693974</v>
      </c>
      <c r="J39" s="87" t="s">
        <v>236</v>
      </c>
      <c r="K39" s="83">
        <f t="shared" si="16"/>
        <v>9630.1632333333509</v>
      </c>
      <c r="L39" s="84">
        <f t="shared" si="13"/>
        <v>99.280033333333321</v>
      </c>
      <c r="M39" s="85">
        <f t="shared" si="3"/>
        <v>160.50272055555584</v>
      </c>
      <c r="N39" s="91">
        <f t="shared" si="4"/>
        <v>259.78275388888915</v>
      </c>
      <c r="O39" s="88">
        <f>SUM(M28:M39)</f>
        <v>2035.2406833333359</v>
      </c>
      <c r="S39" s="87" t="s">
        <v>236</v>
      </c>
      <c r="T39" s="83">
        <f t="shared" si="18"/>
        <v>8547.6340611111136</v>
      </c>
      <c r="U39" s="84">
        <f t="shared" si="14"/>
        <v>78.418661111111106</v>
      </c>
      <c r="V39" s="85">
        <f t="shared" si="5"/>
        <v>142.46056768518523</v>
      </c>
      <c r="W39" s="91">
        <f t="shared" si="6"/>
        <v>220.87922879629633</v>
      </c>
      <c r="X39" s="88">
        <f>SUM(V28:V39)</f>
        <v>1795.787339444445</v>
      </c>
      <c r="Z39" s="87" t="s">
        <v>236</v>
      </c>
      <c r="AA39" s="83">
        <f t="shared" si="7"/>
        <v>48591.653756179199</v>
      </c>
      <c r="AB39" s="83">
        <f t="shared" si="8"/>
        <v>535.50877046485334</v>
      </c>
      <c r="AC39" s="83">
        <f t="shared" si="9"/>
        <v>809.86089593631993</v>
      </c>
      <c r="AD39" s="83">
        <f t="shared" si="10"/>
        <v>1345.3696664011732</v>
      </c>
      <c r="AE39" s="88">
        <f>SUM(AC28:AC39)</f>
        <v>10307.39039874718</v>
      </c>
      <c r="AF39" s="88">
        <f t="shared" si="15"/>
        <v>10307.390398747179</v>
      </c>
    </row>
    <row r="40" spans="2:32" x14ac:dyDescent="0.25">
      <c r="B40">
        <f>B28+1</f>
        <v>2028</v>
      </c>
      <c r="C40" s="82" t="s">
        <v>225</v>
      </c>
      <c r="D40" s="83">
        <f t="shared" si="11"/>
        <v>30056.046385714319</v>
      </c>
      <c r="E40" s="84">
        <f t="shared" si="12"/>
        <v>357.81007602040887</v>
      </c>
      <c r="F40" s="85">
        <f t="shared" si="17"/>
        <v>500.93410642857202</v>
      </c>
      <c r="G40" s="89">
        <f t="shared" si="2"/>
        <v>858.74418244898084</v>
      </c>
      <c r="I40">
        <f>I28+1</f>
        <v>2028</v>
      </c>
      <c r="J40" s="82" t="s">
        <v>225</v>
      </c>
      <c r="K40" s="83">
        <f t="shared" si="16"/>
        <v>9530.8832000000184</v>
      </c>
      <c r="L40" s="84">
        <f t="shared" si="13"/>
        <v>99.280033333333321</v>
      </c>
      <c r="M40" s="85">
        <f t="shared" si="3"/>
        <v>158.84805333333364</v>
      </c>
      <c r="N40" s="89">
        <f t="shared" si="4"/>
        <v>258.12808666666695</v>
      </c>
      <c r="R40">
        <f>R28+1</f>
        <v>2028</v>
      </c>
      <c r="S40" s="82" t="s">
        <v>225</v>
      </c>
      <c r="T40" s="83">
        <f t="shared" si="18"/>
        <v>8469.2154000000028</v>
      </c>
      <c r="U40" s="84">
        <f t="shared" si="14"/>
        <v>78.418661111111106</v>
      </c>
      <c r="V40" s="85">
        <f t="shared" si="5"/>
        <v>141.15359000000004</v>
      </c>
      <c r="W40" s="89">
        <f t="shared" si="6"/>
        <v>219.57225111111114</v>
      </c>
      <c r="Y40">
        <v>2030</v>
      </c>
      <c r="Z40" s="82" t="s">
        <v>225</v>
      </c>
      <c r="AA40" s="83">
        <f t="shared" si="7"/>
        <v>48056.144985714338</v>
      </c>
      <c r="AB40" s="83">
        <f t="shared" si="8"/>
        <v>535.50877046485334</v>
      </c>
      <c r="AC40" s="83">
        <f t="shared" si="9"/>
        <v>800.93574976190564</v>
      </c>
      <c r="AD40" s="83">
        <f t="shared" si="10"/>
        <v>1336.4445202267589</v>
      </c>
      <c r="AF40" s="88">
        <f t="shared" si="15"/>
        <v>0</v>
      </c>
    </row>
    <row r="41" spans="2:32" x14ac:dyDescent="0.25">
      <c r="C41" s="87" t="s">
        <v>226</v>
      </c>
      <c r="D41" s="83">
        <f t="shared" si="11"/>
        <v>29698.236309693908</v>
      </c>
      <c r="E41" s="84">
        <f t="shared" si="12"/>
        <v>357.81007602040887</v>
      </c>
      <c r="F41" s="85">
        <f t="shared" si="17"/>
        <v>494.97060516156517</v>
      </c>
      <c r="G41" s="89">
        <f t="shared" si="2"/>
        <v>852.78068118197405</v>
      </c>
      <c r="J41" s="87" t="s">
        <v>226</v>
      </c>
      <c r="K41" s="83">
        <f t="shared" si="16"/>
        <v>9431.6031666666859</v>
      </c>
      <c r="L41" s="84">
        <f t="shared" si="13"/>
        <v>99.280033333333321</v>
      </c>
      <c r="M41" s="85">
        <f t="shared" si="3"/>
        <v>157.19338611111144</v>
      </c>
      <c r="N41" s="89">
        <f t="shared" si="4"/>
        <v>256.47341944444474</v>
      </c>
      <c r="S41" s="87" t="s">
        <v>226</v>
      </c>
      <c r="T41" s="83">
        <f t="shared" si="18"/>
        <v>8390.7967388888919</v>
      </c>
      <c r="U41" s="84">
        <f t="shared" si="14"/>
        <v>78.418661111111106</v>
      </c>
      <c r="V41" s="85">
        <f t="shared" si="5"/>
        <v>139.84661231481488</v>
      </c>
      <c r="W41" s="89">
        <f t="shared" si="6"/>
        <v>218.26527342592598</v>
      </c>
      <c r="Z41" s="87" t="s">
        <v>226</v>
      </c>
      <c r="AA41" s="83">
        <f t="shared" si="7"/>
        <v>47520.636215249484</v>
      </c>
      <c r="AB41" s="83">
        <f t="shared" si="8"/>
        <v>535.50877046485334</v>
      </c>
      <c r="AC41" s="83">
        <f t="shared" si="9"/>
        <v>792.01060358749146</v>
      </c>
      <c r="AD41" s="83">
        <f t="shared" si="10"/>
        <v>1327.5193740523446</v>
      </c>
      <c r="AF41" s="88">
        <f t="shared" si="15"/>
        <v>0</v>
      </c>
    </row>
    <row r="42" spans="2:32" x14ac:dyDescent="0.25">
      <c r="C42" s="87" t="s">
        <v>227</v>
      </c>
      <c r="D42" s="83">
        <f t="shared" si="11"/>
        <v>29340.426233673497</v>
      </c>
      <c r="E42" s="84">
        <f t="shared" si="12"/>
        <v>357.81007602040887</v>
      </c>
      <c r="F42" s="85">
        <f t="shared" si="17"/>
        <v>489.00710389455827</v>
      </c>
      <c r="G42" s="89">
        <f t="shared" si="2"/>
        <v>846.81717991496714</v>
      </c>
      <c r="J42" s="87" t="s">
        <v>227</v>
      </c>
      <c r="K42" s="83">
        <f t="shared" si="16"/>
        <v>9332.3231333333533</v>
      </c>
      <c r="L42" s="84">
        <f t="shared" si="13"/>
        <v>99.280033333333321</v>
      </c>
      <c r="M42" s="85">
        <f t="shared" si="3"/>
        <v>155.53871888888924</v>
      </c>
      <c r="N42" s="89">
        <f t="shared" si="4"/>
        <v>254.81875222222254</v>
      </c>
      <c r="S42" s="87" t="s">
        <v>227</v>
      </c>
      <c r="T42" s="83">
        <f t="shared" si="18"/>
        <v>8312.3780777777811</v>
      </c>
      <c r="U42" s="84">
        <f t="shared" si="14"/>
        <v>78.418661111111106</v>
      </c>
      <c r="V42" s="85">
        <f t="shared" si="5"/>
        <v>138.53963462962969</v>
      </c>
      <c r="W42" s="89">
        <f t="shared" si="6"/>
        <v>216.95829574074079</v>
      </c>
      <c r="Z42" s="87" t="s">
        <v>227</v>
      </c>
      <c r="AA42" s="83">
        <f t="shared" si="7"/>
        <v>46985.12744478463</v>
      </c>
      <c r="AB42" s="83">
        <f t="shared" si="8"/>
        <v>535.50877046485334</v>
      </c>
      <c r="AC42" s="83">
        <f t="shared" si="9"/>
        <v>783.08545741307717</v>
      </c>
      <c r="AD42" s="83">
        <f t="shared" si="10"/>
        <v>1318.5942278779305</v>
      </c>
      <c r="AF42" s="88">
        <f t="shared" si="15"/>
        <v>0</v>
      </c>
    </row>
    <row r="43" spans="2:32" x14ac:dyDescent="0.25">
      <c r="C43" s="87" t="s">
        <v>228</v>
      </c>
      <c r="D43" s="83">
        <f t="shared" si="11"/>
        <v>28982.616157653087</v>
      </c>
      <c r="E43" s="84">
        <f t="shared" si="12"/>
        <v>357.81007602040887</v>
      </c>
      <c r="F43" s="85">
        <f t="shared" si="17"/>
        <v>483.04360262755148</v>
      </c>
      <c r="G43" s="89">
        <f t="shared" si="2"/>
        <v>840.85367864796035</v>
      </c>
      <c r="J43" s="87" t="s">
        <v>228</v>
      </c>
      <c r="K43" s="83">
        <f t="shared" si="16"/>
        <v>9233.0431000000208</v>
      </c>
      <c r="L43" s="84">
        <f t="shared" si="13"/>
        <v>99.280033333333321</v>
      </c>
      <c r="M43" s="85">
        <f t="shared" si="3"/>
        <v>153.88405166666703</v>
      </c>
      <c r="N43" s="89">
        <f t="shared" si="4"/>
        <v>253.16408500000034</v>
      </c>
      <c r="S43" s="87" t="s">
        <v>228</v>
      </c>
      <c r="T43" s="83">
        <f t="shared" si="18"/>
        <v>8233.9594166666702</v>
      </c>
      <c r="U43" s="84">
        <f t="shared" si="14"/>
        <v>78.418661111111106</v>
      </c>
      <c r="V43" s="85">
        <f t="shared" si="5"/>
        <v>137.23265694444453</v>
      </c>
      <c r="W43" s="89">
        <f t="shared" si="6"/>
        <v>215.65131805555563</v>
      </c>
      <c r="Z43" s="87" t="s">
        <v>228</v>
      </c>
      <c r="AA43" s="83">
        <f t="shared" si="7"/>
        <v>46449.618674319783</v>
      </c>
      <c r="AB43" s="83">
        <f t="shared" si="8"/>
        <v>535.50877046485334</v>
      </c>
      <c r="AC43" s="83">
        <f t="shared" si="9"/>
        <v>774.1603112386631</v>
      </c>
      <c r="AD43" s="83">
        <f t="shared" si="10"/>
        <v>1309.6690817035164</v>
      </c>
      <c r="AF43" s="88">
        <f t="shared" si="15"/>
        <v>0</v>
      </c>
    </row>
    <row r="44" spans="2:32" x14ac:dyDescent="0.25">
      <c r="C44" s="87" t="s">
        <v>229</v>
      </c>
      <c r="D44" s="83">
        <f t="shared" si="11"/>
        <v>28624.806081632676</v>
      </c>
      <c r="E44" s="84">
        <f t="shared" si="12"/>
        <v>357.81007602040887</v>
      </c>
      <c r="F44" s="85">
        <f t="shared" si="17"/>
        <v>477.08010136054463</v>
      </c>
      <c r="G44" s="89">
        <f t="shared" si="2"/>
        <v>834.89017738095345</v>
      </c>
      <c r="J44" s="87" t="s">
        <v>229</v>
      </c>
      <c r="K44" s="83">
        <f t="shared" si="16"/>
        <v>9133.7630666666882</v>
      </c>
      <c r="L44" s="84">
        <f t="shared" si="13"/>
        <v>99.280033333333321</v>
      </c>
      <c r="M44" s="85">
        <f t="shared" si="3"/>
        <v>152.2293844444448</v>
      </c>
      <c r="N44" s="89">
        <f t="shared" si="4"/>
        <v>251.50941777777814</v>
      </c>
      <c r="S44" s="87" t="s">
        <v>229</v>
      </c>
      <c r="T44" s="83">
        <f t="shared" si="18"/>
        <v>8155.5407555555594</v>
      </c>
      <c r="U44" s="84">
        <f t="shared" si="14"/>
        <v>78.418661111111106</v>
      </c>
      <c r="V44" s="85">
        <f t="shared" si="5"/>
        <v>135.92567925925934</v>
      </c>
      <c r="W44" s="89">
        <f t="shared" si="6"/>
        <v>214.34434037037045</v>
      </c>
      <c r="Z44" s="87" t="s">
        <v>229</v>
      </c>
      <c r="AA44" s="83">
        <f t="shared" si="7"/>
        <v>45914.109903854922</v>
      </c>
      <c r="AB44" s="83">
        <f t="shared" si="8"/>
        <v>535.50877046485334</v>
      </c>
      <c r="AC44" s="83">
        <f t="shared" si="9"/>
        <v>765.2351650642488</v>
      </c>
      <c r="AD44" s="83">
        <f t="shared" si="10"/>
        <v>1300.7439355291021</v>
      </c>
      <c r="AF44" s="88">
        <f t="shared" si="15"/>
        <v>0</v>
      </c>
    </row>
    <row r="45" spans="2:32" x14ac:dyDescent="0.25">
      <c r="C45" s="87" t="s">
        <v>230</v>
      </c>
      <c r="D45" s="83">
        <f t="shared" si="11"/>
        <v>28266.996005612265</v>
      </c>
      <c r="E45" s="84">
        <f t="shared" si="12"/>
        <v>357.81007602040887</v>
      </c>
      <c r="F45" s="85">
        <f t="shared" si="17"/>
        <v>471.11660009353778</v>
      </c>
      <c r="G45" s="89">
        <f t="shared" si="2"/>
        <v>828.92667611394666</v>
      </c>
      <c r="J45" s="87" t="s">
        <v>230</v>
      </c>
      <c r="K45" s="83">
        <f t="shared" si="16"/>
        <v>9034.4830333333557</v>
      </c>
      <c r="L45" s="84">
        <f t="shared" si="13"/>
        <v>99.280033333333321</v>
      </c>
      <c r="M45" s="85">
        <f t="shared" si="3"/>
        <v>150.5747172222226</v>
      </c>
      <c r="N45" s="89">
        <f t="shared" si="4"/>
        <v>249.85475055555594</v>
      </c>
      <c r="S45" s="87" t="s">
        <v>230</v>
      </c>
      <c r="T45" s="83">
        <f t="shared" si="18"/>
        <v>8077.1220944444485</v>
      </c>
      <c r="U45" s="84">
        <f t="shared" si="14"/>
        <v>78.418661111111106</v>
      </c>
      <c r="V45" s="85">
        <f t="shared" si="5"/>
        <v>134.61870157407415</v>
      </c>
      <c r="W45" s="89">
        <f t="shared" si="6"/>
        <v>213.03736268518526</v>
      </c>
      <c r="Z45" s="87" t="s">
        <v>230</v>
      </c>
      <c r="AA45" s="83">
        <f t="shared" si="7"/>
        <v>45378.601133390068</v>
      </c>
      <c r="AB45" s="83">
        <f t="shared" si="8"/>
        <v>535.50877046485334</v>
      </c>
      <c r="AC45" s="83">
        <f t="shared" si="9"/>
        <v>756.31001888983462</v>
      </c>
      <c r="AD45" s="83">
        <f t="shared" si="10"/>
        <v>1291.8187893546879</v>
      </c>
      <c r="AF45" s="88">
        <f t="shared" si="15"/>
        <v>0</v>
      </c>
    </row>
    <row r="46" spans="2:32" x14ac:dyDescent="0.25">
      <c r="C46" s="87" t="s">
        <v>231</v>
      </c>
      <c r="D46" s="83">
        <f t="shared" si="11"/>
        <v>27909.185929591855</v>
      </c>
      <c r="E46" s="84">
        <f t="shared" si="12"/>
        <v>357.81007602040887</v>
      </c>
      <c r="F46" s="85">
        <f t="shared" si="17"/>
        <v>465.15309882653099</v>
      </c>
      <c r="G46" s="89">
        <f t="shared" si="2"/>
        <v>822.96317484693986</v>
      </c>
      <c r="J46" s="87" t="s">
        <v>231</v>
      </c>
      <c r="K46" s="83">
        <f t="shared" si="16"/>
        <v>8935.2030000000232</v>
      </c>
      <c r="L46" s="84">
        <f t="shared" si="13"/>
        <v>99.280033333333321</v>
      </c>
      <c r="M46" s="85">
        <f t="shared" si="3"/>
        <v>148.9200500000004</v>
      </c>
      <c r="N46" s="89">
        <f t="shared" si="4"/>
        <v>248.20008333333374</v>
      </c>
      <c r="S46" s="87" t="s">
        <v>231</v>
      </c>
      <c r="T46" s="83">
        <f t="shared" si="18"/>
        <v>7998.7034333333377</v>
      </c>
      <c r="U46" s="84">
        <f t="shared" si="14"/>
        <v>78.418661111111106</v>
      </c>
      <c r="V46" s="85">
        <f t="shared" si="5"/>
        <v>133.31172388888896</v>
      </c>
      <c r="W46" s="89">
        <f t="shared" si="6"/>
        <v>211.73038500000007</v>
      </c>
      <c r="Z46" s="87" t="s">
        <v>231</v>
      </c>
      <c r="AA46" s="83">
        <f t="shared" si="7"/>
        <v>44843.092362925214</v>
      </c>
      <c r="AB46" s="83">
        <f t="shared" si="8"/>
        <v>535.50877046485334</v>
      </c>
      <c r="AC46" s="83">
        <f t="shared" si="9"/>
        <v>747.38487271542044</v>
      </c>
      <c r="AD46" s="83">
        <f t="shared" si="10"/>
        <v>1282.8936431802738</v>
      </c>
      <c r="AF46" s="88">
        <f t="shared" si="15"/>
        <v>0</v>
      </c>
    </row>
    <row r="47" spans="2:32" x14ac:dyDescent="0.25">
      <c r="C47" s="87" t="s">
        <v>232</v>
      </c>
      <c r="D47" s="83">
        <f t="shared" si="11"/>
        <v>27551.375853571444</v>
      </c>
      <c r="E47" s="84">
        <f t="shared" si="12"/>
        <v>357.81007602040887</v>
      </c>
      <c r="F47" s="85">
        <f t="shared" si="17"/>
        <v>459.18959755952409</v>
      </c>
      <c r="G47" s="89">
        <f t="shared" si="2"/>
        <v>816.99967357993296</v>
      </c>
      <c r="J47" s="87" t="s">
        <v>232</v>
      </c>
      <c r="K47" s="83">
        <f t="shared" si="16"/>
        <v>8835.9229666666906</v>
      </c>
      <c r="L47" s="84">
        <f t="shared" si="13"/>
        <v>99.280033333333321</v>
      </c>
      <c r="M47" s="85">
        <f t="shared" si="3"/>
        <v>147.26538277777817</v>
      </c>
      <c r="N47" s="89">
        <f t="shared" si="4"/>
        <v>246.54541611111148</v>
      </c>
      <c r="S47" s="87" t="s">
        <v>232</v>
      </c>
      <c r="T47" s="83">
        <f t="shared" si="18"/>
        <v>7920.2847722222268</v>
      </c>
      <c r="U47" s="84">
        <f t="shared" si="14"/>
        <v>78.418661111111106</v>
      </c>
      <c r="V47" s="85">
        <f t="shared" si="5"/>
        <v>132.00474620370377</v>
      </c>
      <c r="W47" s="89">
        <f t="shared" si="6"/>
        <v>210.42340731481488</v>
      </c>
      <c r="Z47" s="87" t="s">
        <v>232</v>
      </c>
      <c r="AA47" s="83">
        <f t="shared" si="7"/>
        <v>44307.583592460367</v>
      </c>
      <c r="AB47" s="83">
        <f t="shared" si="8"/>
        <v>535.50877046485334</v>
      </c>
      <c r="AC47" s="83">
        <f t="shared" si="9"/>
        <v>738.45972654100603</v>
      </c>
      <c r="AD47" s="83">
        <f t="shared" si="10"/>
        <v>1273.9684970058593</v>
      </c>
      <c r="AF47" s="88">
        <f t="shared" si="15"/>
        <v>0</v>
      </c>
    </row>
    <row r="48" spans="2:32" x14ac:dyDescent="0.25">
      <c r="C48" s="87" t="s">
        <v>233</v>
      </c>
      <c r="D48" s="83">
        <f t="shared" si="11"/>
        <v>27193.565777551034</v>
      </c>
      <c r="E48" s="84">
        <f t="shared" si="12"/>
        <v>357.81007602040887</v>
      </c>
      <c r="F48" s="85">
        <f t="shared" si="17"/>
        <v>453.22609629251724</v>
      </c>
      <c r="G48" s="89">
        <f t="shared" si="2"/>
        <v>811.03617231292606</v>
      </c>
      <c r="J48" s="87" t="s">
        <v>233</v>
      </c>
      <c r="K48" s="83">
        <f t="shared" si="16"/>
        <v>8736.6429333333581</v>
      </c>
      <c r="L48" s="84">
        <f t="shared" si="13"/>
        <v>99.280033333333321</v>
      </c>
      <c r="M48" s="85">
        <f t="shared" si="3"/>
        <v>145.61071555555597</v>
      </c>
      <c r="N48" s="89">
        <f t="shared" si="4"/>
        <v>244.89074888888928</v>
      </c>
      <c r="S48" s="87" t="s">
        <v>233</v>
      </c>
      <c r="T48" s="83">
        <f t="shared" si="18"/>
        <v>7841.866111111116</v>
      </c>
      <c r="U48" s="84">
        <f t="shared" si="14"/>
        <v>78.418661111111106</v>
      </c>
      <c r="V48" s="85">
        <f t="shared" si="5"/>
        <v>130.69776851851861</v>
      </c>
      <c r="W48" s="89">
        <f t="shared" si="6"/>
        <v>209.11642962962972</v>
      </c>
      <c r="Z48" s="87" t="s">
        <v>233</v>
      </c>
      <c r="AA48" s="83">
        <f t="shared" si="7"/>
        <v>43772.074821995506</v>
      </c>
      <c r="AB48" s="83">
        <f t="shared" si="8"/>
        <v>535.50877046485334</v>
      </c>
      <c r="AC48" s="83">
        <f t="shared" si="9"/>
        <v>729.53458036659185</v>
      </c>
      <c r="AD48" s="83">
        <f t="shared" si="10"/>
        <v>1265.043350831445</v>
      </c>
      <c r="AF48" s="88">
        <f t="shared" si="15"/>
        <v>0</v>
      </c>
    </row>
    <row r="49" spans="2:32" x14ac:dyDescent="0.25">
      <c r="C49" s="87" t="s">
        <v>234</v>
      </c>
      <c r="D49" s="83">
        <f t="shared" si="11"/>
        <v>26835.755701530623</v>
      </c>
      <c r="E49" s="84">
        <f t="shared" si="12"/>
        <v>357.81007602040887</v>
      </c>
      <c r="F49" s="85">
        <f t="shared" si="17"/>
        <v>447.26259502551039</v>
      </c>
      <c r="G49" s="89">
        <f t="shared" si="2"/>
        <v>805.07267104591926</v>
      </c>
      <c r="J49" s="87" t="s">
        <v>234</v>
      </c>
      <c r="K49" s="83">
        <f t="shared" si="16"/>
        <v>8637.3629000000255</v>
      </c>
      <c r="L49" s="84">
        <f t="shared" si="13"/>
        <v>99.280033333333321</v>
      </c>
      <c r="M49" s="85">
        <f t="shared" si="3"/>
        <v>143.95604833333377</v>
      </c>
      <c r="N49" s="89">
        <f t="shared" si="4"/>
        <v>243.23608166666708</v>
      </c>
      <c r="S49" s="87" t="s">
        <v>234</v>
      </c>
      <c r="T49" s="83">
        <f t="shared" si="18"/>
        <v>7763.4474500000051</v>
      </c>
      <c r="U49" s="84">
        <f t="shared" si="14"/>
        <v>78.418661111111106</v>
      </c>
      <c r="V49" s="85">
        <f t="shared" si="5"/>
        <v>129.39079083333343</v>
      </c>
      <c r="W49" s="89">
        <f t="shared" si="6"/>
        <v>207.80945194444453</v>
      </c>
      <c r="Z49" s="87" t="s">
        <v>234</v>
      </c>
      <c r="AA49" s="83">
        <f t="shared" si="7"/>
        <v>43236.566051530652</v>
      </c>
      <c r="AB49" s="83">
        <f t="shared" si="8"/>
        <v>535.50877046485334</v>
      </c>
      <c r="AC49" s="83">
        <f t="shared" si="9"/>
        <v>720.60943419217756</v>
      </c>
      <c r="AD49" s="83">
        <f t="shared" si="10"/>
        <v>1256.1182046570309</v>
      </c>
      <c r="AF49" s="88">
        <f t="shared" si="15"/>
        <v>0</v>
      </c>
    </row>
    <row r="50" spans="2:32" x14ac:dyDescent="0.25">
      <c r="C50" s="87" t="s">
        <v>235</v>
      </c>
      <c r="D50" s="83">
        <f t="shared" si="11"/>
        <v>26477.945625510212</v>
      </c>
      <c r="E50" s="84">
        <f t="shared" si="12"/>
        <v>357.81007602040887</v>
      </c>
      <c r="F50" s="85">
        <f t="shared" si="17"/>
        <v>441.2990937585036</v>
      </c>
      <c r="G50" s="89">
        <f t="shared" si="2"/>
        <v>799.10916977891247</v>
      </c>
      <c r="J50" s="87" t="s">
        <v>235</v>
      </c>
      <c r="K50" s="83">
        <f t="shared" si="16"/>
        <v>8538.082866666693</v>
      </c>
      <c r="L50" s="84">
        <f t="shared" si="13"/>
        <v>99.280033333333321</v>
      </c>
      <c r="M50" s="85">
        <f t="shared" si="3"/>
        <v>142.30138111111157</v>
      </c>
      <c r="N50" s="89">
        <f t="shared" si="4"/>
        <v>241.58141444444487</v>
      </c>
      <c r="S50" s="87" t="s">
        <v>235</v>
      </c>
      <c r="T50" s="83">
        <f t="shared" si="18"/>
        <v>7685.0287888888943</v>
      </c>
      <c r="U50" s="84">
        <f t="shared" si="14"/>
        <v>78.418661111111106</v>
      </c>
      <c r="V50" s="85">
        <f t="shared" si="5"/>
        <v>128.08381314814824</v>
      </c>
      <c r="W50" s="89">
        <f t="shared" si="6"/>
        <v>206.50247425925934</v>
      </c>
      <c r="Z50" s="87" t="s">
        <v>235</v>
      </c>
      <c r="AA50" s="83">
        <f t="shared" si="7"/>
        <v>42701.057281065798</v>
      </c>
      <c r="AB50" s="83">
        <f t="shared" si="8"/>
        <v>535.50877046485334</v>
      </c>
      <c r="AC50" s="83">
        <f t="shared" si="9"/>
        <v>711.68428801776338</v>
      </c>
      <c r="AD50" s="83">
        <f t="shared" si="10"/>
        <v>1247.1930584826166</v>
      </c>
      <c r="AF50" s="88">
        <f t="shared" si="15"/>
        <v>0</v>
      </c>
    </row>
    <row r="51" spans="2:32" x14ac:dyDescent="0.25">
      <c r="C51" s="87" t="s">
        <v>236</v>
      </c>
      <c r="D51" s="83">
        <f t="shared" si="11"/>
        <v>26120.135549489802</v>
      </c>
      <c r="E51" s="84">
        <f t="shared" si="12"/>
        <v>357.81007602040887</v>
      </c>
      <c r="F51" s="85">
        <f t="shared" si="17"/>
        <v>435.33559249149675</v>
      </c>
      <c r="G51" s="89">
        <f t="shared" si="2"/>
        <v>793.14566851190557</v>
      </c>
      <c r="H51" s="88">
        <f>SUM(F40:F51)</f>
        <v>5617.6181935204122</v>
      </c>
      <c r="J51" s="87" t="s">
        <v>236</v>
      </c>
      <c r="K51" s="83">
        <f t="shared" si="16"/>
        <v>8438.8028333333605</v>
      </c>
      <c r="L51" s="84">
        <f t="shared" si="13"/>
        <v>99.280033333333321</v>
      </c>
      <c r="M51" s="85">
        <f t="shared" si="3"/>
        <v>140.64671388888937</v>
      </c>
      <c r="N51" s="89">
        <f t="shared" si="4"/>
        <v>239.92674722222267</v>
      </c>
      <c r="O51" s="88">
        <f>SUM(M40:M51)</f>
        <v>1796.9686033333378</v>
      </c>
      <c r="S51" s="87" t="s">
        <v>236</v>
      </c>
      <c r="T51" s="83">
        <f t="shared" si="18"/>
        <v>7606.6101277777834</v>
      </c>
      <c r="U51" s="84">
        <f t="shared" si="14"/>
        <v>78.418661111111106</v>
      </c>
      <c r="V51" s="85">
        <f t="shared" si="5"/>
        <v>126.77683546296306</v>
      </c>
      <c r="W51" s="89">
        <f t="shared" si="6"/>
        <v>205.19549657407418</v>
      </c>
      <c r="X51" s="88">
        <f>SUM(V40:V51)</f>
        <v>1607.582552777779</v>
      </c>
      <c r="Z51" s="87" t="s">
        <v>236</v>
      </c>
      <c r="AA51" s="83">
        <f t="shared" si="7"/>
        <v>42165.548510600951</v>
      </c>
      <c r="AB51" s="83">
        <f t="shared" si="8"/>
        <v>535.50877046485334</v>
      </c>
      <c r="AC51" s="83">
        <f t="shared" si="9"/>
        <v>702.7591418433492</v>
      </c>
      <c r="AD51" s="83">
        <f t="shared" si="10"/>
        <v>1238.2679123082025</v>
      </c>
      <c r="AE51" s="88">
        <f>SUM(AC40:AC51)</f>
        <v>9022.1693496315293</v>
      </c>
      <c r="AF51" s="88">
        <f t="shared" si="15"/>
        <v>9022.1693496315293</v>
      </c>
    </row>
    <row r="52" spans="2:32" x14ac:dyDescent="0.25">
      <c r="B52">
        <f>B40+1</f>
        <v>2029</v>
      </c>
      <c r="C52" s="82" t="s">
        <v>225</v>
      </c>
      <c r="D52" s="83">
        <f t="shared" si="11"/>
        <v>25762.325473469391</v>
      </c>
      <c r="E52" s="84">
        <f t="shared" si="12"/>
        <v>357.81007602040887</v>
      </c>
      <c r="F52" s="85">
        <f t="shared" si="17"/>
        <v>429.37209122448985</v>
      </c>
      <c r="G52" s="83">
        <f t="shared" si="2"/>
        <v>787.18216724489866</v>
      </c>
      <c r="I52">
        <f>I40+1</f>
        <v>2029</v>
      </c>
      <c r="J52" s="82" t="s">
        <v>225</v>
      </c>
      <c r="K52" s="83">
        <f t="shared" si="16"/>
        <v>8339.5228000000279</v>
      </c>
      <c r="L52" s="84">
        <f t="shared" si="13"/>
        <v>99.280033333333321</v>
      </c>
      <c r="M52" s="85">
        <f t="shared" si="3"/>
        <v>138.99204666666714</v>
      </c>
      <c r="N52" s="83">
        <f t="shared" si="4"/>
        <v>238.27208000000047</v>
      </c>
      <c r="R52">
        <f>R40+1</f>
        <v>2029</v>
      </c>
      <c r="S52" s="82" t="s">
        <v>225</v>
      </c>
      <c r="T52" s="83">
        <f t="shared" si="18"/>
        <v>7528.1914666666726</v>
      </c>
      <c r="U52" s="84">
        <f t="shared" si="14"/>
        <v>78.418661111111106</v>
      </c>
      <c r="V52" s="85">
        <f t="shared" si="5"/>
        <v>125.46985777777788</v>
      </c>
      <c r="W52" s="83">
        <f t="shared" si="6"/>
        <v>203.888518888889</v>
      </c>
      <c r="Y52">
        <v>2031</v>
      </c>
      <c r="Z52" s="82" t="s">
        <v>225</v>
      </c>
      <c r="AA52" s="83">
        <f t="shared" si="7"/>
        <v>41630.03974013609</v>
      </c>
      <c r="AB52" s="83">
        <f t="shared" si="8"/>
        <v>535.50877046485334</v>
      </c>
      <c r="AC52" s="83">
        <f t="shared" si="9"/>
        <v>693.8339956689349</v>
      </c>
      <c r="AD52" s="83">
        <f t="shared" si="10"/>
        <v>1229.342766133788</v>
      </c>
      <c r="AF52" s="88">
        <f t="shared" si="15"/>
        <v>0</v>
      </c>
    </row>
    <row r="53" spans="2:32" x14ac:dyDescent="0.25">
      <c r="C53" s="87" t="s">
        <v>226</v>
      </c>
      <c r="D53" s="83">
        <f t="shared" si="11"/>
        <v>25404.51539744898</v>
      </c>
      <c r="E53" s="84">
        <f t="shared" si="12"/>
        <v>357.81007602040887</v>
      </c>
      <c r="F53" s="85">
        <f t="shared" si="17"/>
        <v>423.408589957483</v>
      </c>
      <c r="G53" s="83">
        <f t="shared" si="2"/>
        <v>781.21866597789187</v>
      </c>
      <c r="J53" s="87" t="s">
        <v>226</v>
      </c>
      <c r="K53" s="83">
        <f t="shared" si="16"/>
        <v>8240.2427666666954</v>
      </c>
      <c r="L53" s="84">
        <f t="shared" si="13"/>
        <v>99.280033333333321</v>
      </c>
      <c r="M53" s="85">
        <f t="shared" si="3"/>
        <v>137.33737944444493</v>
      </c>
      <c r="N53" s="83">
        <f t="shared" si="4"/>
        <v>236.61741277777827</v>
      </c>
      <c r="S53" s="87" t="s">
        <v>226</v>
      </c>
      <c r="T53" s="83">
        <f t="shared" si="18"/>
        <v>7449.7728055555617</v>
      </c>
      <c r="U53" s="84">
        <f t="shared" si="14"/>
        <v>78.418661111111106</v>
      </c>
      <c r="V53" s="85">
        <f t="shared" si="5"/>
        <v>124.16288009259272</v>
      </c>
      <c r="W53" s="83">
        <f t="shared" si="6"/>
        <v>202.58154120370381</v>
      </c>
      <c r="Z53" s="87" t="s">
        <v>226</v>
      </c>
      <c r="AA53" s="83">
        <f t="shared" si="7"/>
        <v>41094.530969671236</v>
      </c>
      <c r="AB53" s="83">
        <f t="shared" si="8"/>
        <v>535.50877046485334</v>
      </c>
      <c r="AC53" s="83">
        <f t="shared" si="9"/>
        <v>684.90884949452061</v>
      </c>
      <c r="AD53" s="83">
        <f t="shared" si="10"/>
        <v>1220.417619959374</v>
      </c>
      <c r="AF53" s="88">
        <f t="shared" si="15"/>
        <v>0</v>
      </c>
    </row>
    <row r="54" spans="2:32" x14ac:dyDescent="0.25">
      <c r="C54" s="87" t="s">
        <v>227</v>
      </c>
      <c r="D54" s="83">
        <f t="shared" si="11"/>
        <v>25046.70532142857</v>
      </c>
      <c r="E54" s="84">
        <f t="shared" si="12"/>
        <v>357.81007602040887</v>
      </c>
      <c r="F54" s="85">
        <f t="shared" si="17"/>
        <v>417.44508869047621</v>
      </c>
      <c r="G54" s="83">
        <f t="shared" si="2"/>
        <v>775.25516471088508</v>
      </c>
      <c r="J54" s="87" t="s">
        <v>227</v>
      </c>
      <c r="K54" s="83">
        <f t="shared" si="16"/>
        <v>8140.9627333333619</v>
      </c>
      <c r="L54" s="84">
        <f t="shared" si="13"/>
        <v>99.280033333333321</v>
      </c>
      <c r="M54" s="85">
        <f t="shared" si="3"/>
        <v>135.6827122222227</v>
      </c>
      <c r="N54" s="83">
        <f t="shared" si="4"/>
        <v>234.96274555555601</v>
      </c>
      <c r="S54" s="87" t="s">
        <v>227</v>
      </c>
      <c r="T54" s="83">
        <f t="shared" si="18"/>
        <v>7371.3541444444509</v>
      </c>
      <c r="U54" s="84">
        <f t="shared" si="14"/>
        <v>78.418661111111106</v>
      </c>
      <c r="V54" s="85">
        <f t="shared" si="5"/>
        <v>122.85590240740753</v>
      </c>
      <c r="W54" s="83">
        <f t="shared" si="6"/>
        <v>201.27456351851862</v>
      </c>
      <c r="Z54" s="87" t="s">
        <v>227</v>
      </c>
      <c r="AA54" s="83">
        <f t="shared" si="7"/>
        <v>40559.022199206382</v>
      </c>
      <c r="AB54" s="83">
        <f t="shared" si="8"/>
        <v>535.50877046485334</v>
      </c>
      <c r="AC54" s="83">
        <f t="shared" si="9"/>
        <v>675.98370332010643</v>
      </c>
      <c r="AD54" s="83">
        <f t="shared" si="10"/>
        <v>1211.4924737849597</v>
      </c>
      <c r="AF54" s="88">
        <f t="shared" si="15"/>
        <v>0</v>
      </c>
    </row>
    <row r="55" spans="2:32" x14ac:dyDescent="0.25">
      <c r="C55" s="87" t="s">
        <v>228</v>
      </c>
      <c r="D55" s="83">
        <f t="shared" si="11"/>
        <v>24688.895245408159</v>
      </c>
      <c r="E55" s="84">
        <f t="shared" si="12"/>
        <v>357.81007602040887</v>
      </c>
      <c r="F55" s="85">
        <f t="shared" si="17"/>
        <v>411.48158742346936</v>
      </c>
      <c r="G55" s="83">
        <f t="shared" si="2"/>
        <v>769.29166344387818</v>
      </c>
      <c r="J55" s="87" t="s">
        <v>228</v>
      </c>
      <c r="K55" s="83">
        <f t="shared" si="16"/>
        <v>8041.6827000000285</v>
      </c>
      <c r="L55" s="84">
        <f t="shared" si="13"/>
        <v>99.280033333333321</v>
      </c>
      <c r="M55" s="85">
        <f t="shared" si="3"/>
        <v>134.02804500000047</v>
      </c>
      <c r="N55" s="83">
        <f t="shared" si="4"/>
        <v>233.30807833333381</v>
      </c>
      <c r="S55" s="87" t="s">
        <v>228</v>
      </c>
      <c r="T55" s="83">
        <f t="shared" si="18"/>
        <v>7292.93548333334</v>
      </c>
      <c r="U55" s="84">
        <f t="shared" si="14"/>
        <v>78.418661111111106</v>
      </c>
      <c r="V55" s="85">
        <f t="shared" si="5"/>
        <v>121.54892472222234</v>
      </c>
      <c r="W55" s="83">
        <f t="shared" si="6"/>
        <v>199.96758583333343</v>
      </c>
      <c r="Z55" s="87" t="s">
        <v>228</v>
      </c>
      <c r="AA55" s="83">
        <f t="shared" si="7"/>
        <v>40023.513428741528</v>
      </c>
      <c r="AB55" s="83">
        <f t="shared" si="8"/>
        <v>535.50877046485334</v>
      </c>
      <c r="AC55" s="83">
        <f t="shared" si="9"/>
        <v>667.05855714569213</v>
      </c>
      <c r="AD55" s="83">
        <f t="shared" si="10"/>
        <v>1202.5673276105454</v>
      </c>
      <c r="AF55" s="88">
        <f t="shared" si="15"/>
        <v>0</v>
      </c>
    </row>
    <row r="56" spans="2:32" x14ac:dyDescent="0.25">
      <c r="C56" s="87" t="s">
        <v>229</v>
      </c>
      <c r="D56" s="83">
        <f t="shared" si="11"/>
        <v>24331.085169387748</v>
      </c>
      <c r="E56" s="84">
        <f t="shared" si="12"/>
        <v>357.81007602040887</v>
      </c>
      <c r="F56" s="85">
        <f t="shared" si="17"/>
        <v>405.51808615646246</v>
      </c>
      <c r="G56" s="83">
        <f t="shared" si="2"/>
        <v>763.32816217687127</v>
      </c>
      <c r="J56" s="87" t="s">
        <v>229</v>
      </c>
      <c r="K56" s="83">
        <f t="shared" si="16"/>
        <v>7942.402666666695</v>
      </c>
      <c r="L56" s="84">
        <f t="shared" si="13"/>
        <v>99.280033333333321</v>
      </c>
      <c r="M56" s="85">
        <f t="shared" si="3"/>
        <v>132.37337777777824</v>
      </c>
      <c r="N56" s="83">
        <f t="shared" si="4"/>
        <v>231.65341111111155</v>
      </c>
      <c r="S56" s="87" t="s">
        <v>229</v>
      </c>
      <c r="T56" s="83">
        <f t="shared" si="18"/>
        <v>7214.5168222222292</v>
      </c>
      <c r="U56" s="84">
        <f t="shared" si="14"/>
        <v>78.418661111111106</v>
      </c>
      <c r="V56" s="85">
        <f t="shared" si="5"/>
        <v>120.24194703703716</v>
      </c>
      <c r="W56" s="83">
        <f t="shared" si="6"/>
        <v>198.66060814814827</v>
      </c>
      <c r="Z56" s="87" t="s">
        <v>229</v>
      </c>
      <c r="AA56" s="83">
        <f t="shared" si="7"/>
        <v>39488.004658276674</v>
      </c>
      <c r="AB56" s="83">
        <f t="shared" si="8"/>
        <v>535.50877046485334</v>
      </c>
      <c r="AC56" s="83">
        <f t="shared" si="9"/>
        <v>658.13341097127795</v>
      </c>
      <c r="AD56" s="83">
        <f t="shared" si="10"/>
        <v>1193.6421814361311</v>
      </c>
      <c r="AF56" s="88">
        <f t="shared" si="15"/>
        <v>0</v>
      </c>
    </row>
    <row r="57" spans="2:32" x14ac:dyDescent="0.25">
      <c r="C57" s="87" t="s">
        <v>230</v>
      </c>
      <c r="D57" s="83">
        <f t="shared" si="11"/>
        <v>23973.275093367338</v>
      </c>
      <c r="E57" s="84">
        <f t="shared" si="12"/>
        <v>357.81007602040887</v>
      </c>
      <c r="F57" s="85">
        <f t="shared" si="17"/>
        <v>399.55458488945561</v>
      </c>
      <c r="G57" s="83">
        <f t="shared" si="2"/>
        <v>757.36466090986448</v>
      </c>
      <c r="J57" s="87" t="s">
        <v>230</v>
      </c>
      <c r="K57" s="83">
        <f t="shared" si="16"/>
        <v>7843.1226333333616</v>
      </c>
      <c r="L57" s="84">
        <f t="shared" si="13"/>
        <v>99.280033333333321</v>
      </c>
      <c r="M57" s="85">
        <f t="shared" si="3"/>
        <v>130.71871055555604</v>
      </c>
      <c r="N57" s="83">
        <f t="shared" si="4"/>
        <v>229.99874388888935</v>
      </c>
      <c r="S57" s="87" t="s">
        <v>230</v>
      </c>
      <c r="T57" s="83">
        <f t="shared" si="18"/>
        <v>7136.0981611111183</v>
      </c>
      <c r="U57" s="84">
        <f t="shared" si="14"/>
        <v>78.418661111111106</v>
      </c>
      <c r="V57" s="85">
        <f t="shared" si="5"/>
        <v>118.93496935185198</v>
      </c>
      <c r="W57" s="83">
        <f t="shared" si="6"/>
        <v>197.35363046296308</v>
      </c>
      <c r="Z57" s="87" t="s">
        <v>230</v>
      </c>
      <c r="AA57" s="83">
        <f t="shared" si="7"/>
        <v>38952.49588781182</v>
      </c>
      <c r="AB57" s="83">
        <f t="shared" si="8"/>
        <v>535.50877046485334</v>
      </c>
      <c r="AC57" s="83">
        <f t="shared" si="9"/>
        <v>649.20826479686366</v>
      </c>
      <c r="AD57" s="83">
        <f t="shared" si="10"/>
        <v>1184.717035261717</v>
      </c>
      <c r="AF57" s="88">
        <f t="shared" si="15"/>
        <v>0</v>
      </c>
    </row>
    <row r="58" spans="2:32" x14ac:dyDescent="0.25">
      <c r="C58" s="87" t="s">
        <v>231</v>
      </c>
      <c r="D58" s="83">
        <f t="shared" si="11"/>
        <v>23615.465017346927</v>
      </c>
      <c r="E58" s="84">
        <f t="shared" si="12"/>
        <v>357.81007602040887</v>
      </c>
      <c r="F58" s="85">
        <f t="shared" si="17"/>
        <v>393.59108362244882</v>
      </c>
      <c r="G58" s="83">
        <f t="shared" si="2"/>
        <v>751.40115964285769</v>
      </c>
      <c r="J58" s="87" t="s">
        <v>231</v>
      </c>
      <c r="K58" s="83">
        <f t="shared" si="16"/>
        <v>7743.8426000000281</v>
      </c>
      <c r="L58" s="84">
        <f t="shared" si="13"/>
        <v>99.280033333333321</v>
      </c>
      <c r="M58" s="85">
        <f t="shared" si="3"/>
        <v>129.06404333333381</v>
      </c>
      <c r="N58" s="83">
        <f t="shared" si="4"/>
        <v>228.34407666666715</v>
      </c>
      <c r="S58" s="87" t="s">
        <v>231</v>
      </c>
      <c r="T58" s="83">
        <f t="shared" si="18"/>
        <v>7057.6795000000075</v>
      </c>
      <c r="U58" s="84">
        <f t="shared" si="14"/>
        <v>78.418661111111106</v>
      </c>
      <c r="V58" s="85">
        <f t="shared" si="5"/>
        <v>117.6279916666668</v>
      </c>
      <c r="W58" s="83">
        <f t="shared" si="6"/>
        <v>196.04665277777792</v>
      </c>
      <c r="Z58" s="87" t="s">
        <v>231</v>
      </c>
      <c r="AA58" s="83">
        <f t="shared" si="7"/>
        <v>38416.987117346966</v>
      </c>
      <c r="AB58" s="83">
        <f t="shared" si="8"/>
        <v>535.50877046485334</v>
      </c>
      <c r="AC58" s="83">
        <f t="shared" si="9"/>
        <v>640.28311862244948</v>
      </c>
      <c r="AD58" s="83">
        <f t="shared" si="10"/>
        <v>1175.7918890873029</v>
      </c>
      <c r="AF58" s="88">
        <f t="shared" si="15"/>
        <v>0</v>
      </c>
    </row>
    <row r="59" spans="2:32" x14ac:dyDescent="0.25">
      <c r="C59" s="87" t="s">
        <v>232</v>
      </c>
      <c r="D59" s="83">
        <f t="shared" si="11"/>
        <v>23257.654941326517</v>
      </c>
      <c r="E59" s="84">
        <f t="shared" si="12"/>
        <v>357.81007602040887</v>
      </c>
      <c r="F59" s="85">
        <f t="shared" si="17"/>
        <v>387.62758235544197</v>
      </c>
      <c r="G59" s="83">
        <f t="shared" si="2"/>
        <v>745.43765837585079</v>
      </c>
      <c r="J59" s="87" t="s">
        <v>232</v>
      </c>
      <c r="K59" s="83">
        <f t="shared" si="16"/>
        <v>7644.5625666666947</v>
      </c>
      <c r="L59" s="84">
        <f t="shared" si="13"/>
        <v>99.280033333333321</v>
      </c>
      <c r="M59" s="85">
        <f t="shared" si="3"/>
        <v>127.4093761111116</v>
      </c>
      <c r="N59" s="83">
        <f t="shared" si="4"/>
        <v>226.68940944444492</v>
      </c>
      <c r="S59" s="87" t="s">
        <v>232</v>
      </c>
      <c r="T59" s="83">
        <f t="shared" si="18"/>
        <v>6979.2608388888966</v>
      </c>
      <c r="U59" s="84">
        <f t="shared" si="14"/>
        <v>78.418661111111106</v>
      </c>
      <c r="V59" s="85">
        <f t="shared" si="5"/>
        <v>116.32101398148161</v>
      </c>
      <c r="W59" s="83">
        <f t="shared" si="6"/>
        <v>194.73967509259273</v>
      </c>
      <c r="Z59" s="87" t="s">
        <v>232</v>
      </c>
      <c r="AA59" s="83">
        <f t="shared" si="7"/>
        <v>37881.478346882112</v>
      </c>
      <c r="AB59" s="83">
        <f t="shared" si="8"/>
        <v>535.50877046485334</v>
      </c>
      <c r="AC59" s="83">
        <f t="shared" si="9"/>
        <v>631.35797244803518</v>
      </c>
      <c r="AD59" s="83">
        <f t="shared" si="10"/>
        <v>1166.8667429128884</v>
      </c>
      <c r="AF59" s="88">
        <f t="shared" si="15"/>
        <v>0</v>
      </c>
    </row>
    <row r="60" spans="2:32" x14ac:dyDescent="0.25">
      <c r="C60" s="87" t="s">
        <v>233</v>
      </c>
      <c r="D60" s="83">
        <f t="shared" si="11"/>
        <v>22899.844865306106</v>
      </c>
      <c r="E60" s="84">
        <f t="shared" si="12"/>
        <v>357.81007602040887</v>
      </c>
      <c r="F60" s="85">
        <f t="shared" si="17"/>
        <v>381.66408108843513</v>
      </c>
      <c r="G60" s="83">
        <f t="shared" si="2"/>
        <v>739.474157108844</v>
      </c>
      <c r="J60" s="87" t="s">
        <v>233</v>
      </c>
      <c r="K60" s="83">
        <f t="shared" si="16"/>
        <v>7545.2825333333612</v>
      </c>
      <c r="L60" s="84">
        <f t="shared" si="13"/>
        <v>99.280033333333321</v>
      </c>
      <c r="M60" s="85">
        <f t="shared" si="3"/>
        <v>125.75470888888935</v>
      </c>
      <c r="N60" s="83">
        <f t="shared" si="4"/>
        <v>225.03474222222269</v>
      </c>
      <c r="S60" s="87" t="s">
        <v>233</v>
      </c>
      <c r="T60" s="83">
        <f t="shared" si="18"/>
        <v>6900.8421777777858</v>
      </c>
      <c r="U60" s="84">
        <f t="shared" si="14"/>
        <v>78.418661111111106</v>
      </c>
      <c r="V60" s="85">
        <f t="shared" si="5"/>
        <v>115.01403629629642</v>
      </c>
      <c r="W60" s="83">
        <f t="shared" si="6"/>
        <v>193.43269740740755</v>
      </c>
      <c r="Z60" s="87" t="s">
        <v>233</v>
      </c>
      <c r="AA60" s="83">
        <f t="shared" si="7"/>
        <v>37345.96957641725</v>
      </c>
      <c r="AB60" s="83">
        <f t="shared" si="8"/>
        <v>535.50877046485334</v>
      </c>
      <c r="AC60" s="83">
        <f t="shared" si="9"/>
        <v>622.43282627362089</v>
      </c>
      <c r="AD60" s="83">
        <f t="shared" si="10"/>
        <v>1157.9415967384743</v>
      </c>
      <c r="AF60" s="88">
        <f t="shared" si="15"/>
        <v>0</v>
      </c>
    </row>
    <row r="61" spans="2:32" x14ac:dyDescent="0.25">
      <c r="C61" s="87" t="s">
        <v>234</v>
      </c>
      <c r="D61" s="83">
        <f t="shared" si="11"/>
        <v>22542.034789285695</v>
      </c>
      <c r="E61" s="84">
        <f t="shared" si="12"/>
        <v>357.81007602040887</v>
      </c>
      <c r="F61" s="85">
        <f t="shared" si="17"/>
        <v>375.70057982142822</v>
      </c>
      <c r="G61" s="83">
        <f t="shared" si="2"/>
        <v>733.51065584183709</v>
      </c>
      <c r="J61" s="87" t="s">
        <v>234</v>
      </c>
      <c r="K61" s="83">
        <f t="shared" si="16"/>
        <v>7446.0025000000278</v>
      </c>
      <c r="L61" s="84">
        <f t="shared" si="13"/>
        <v>99.280033333333321</v>
      </c>
      <c r="M61" s="85">
        <f t="shared" si="3"/>
        <v>124.10004166666714</v>
      </c>
      <c r="N61" s="83">
        <f t="shared" si="4"/>
        <v>223.38007500000046</v>
      </c>
      <c r="S61" s="87" t="s">
        <v>234</v>
      </c>
      <c r="T61" s="83">
        <f t="shared" si="18"/>
        <v>6822.4235166666749</v>
      </c>
      <c r="U61" s="84">
        <f t="shared" si="14"/>
        <v>78.418661111111106</v>
      </c>
      <c r="V61" s="85">
        <f t="shared" si="5"/>
        <v>113.70705861111126</v>
      </c>
      <c r="W61" s="83">
        <f t="shared" si="6"/>
        <v>192.12571972222236</v>
      </c>
      <c r="Z61" s="87" t="s">
        <v>234</v>
      </c>
      <c r="AA61" s="83">
        <f t="shared" si="7"/>
        <v>36810.460805952396</v>
      </c>
      <c r="AB61" s="83">
        <f t="shared" si="8"/>
        <v>535.50877046485334</v>
      </c>
      <c r="AC61" s="83">
        <f t="shared" si="9"/>
        <v>613.5076800992066</v>
      </c>
      <c r="AD61" s="83">
        <f t="shared" si="10"/>
        <v>1149.0164505640601</v>
      </c>
      <c r="AF61" s="88">
        <f t="shared" si="15"/>
        <v>0</v>
      </c>
    </row>
    <row r="62" spans="2:32" x14ac:dyDescent="0.25">
      <c r="C62" s="87" t="s">
        <v>235</v>
      </c>
      <c r="D62" s="83">
        <f t="shared" si="11"/>
        <v>22184.224713265285</v>
      </c>
      <c r="E62" s="84">
        <f t="shared" si="12"/>
        <v>357.81007602040887</v>
      </c>
      <c r="F62" s="85">
        <f t="shared" si="17"/>
        <v>369.73707855442143</v>
      </c>
      <c r="G62" s="83">
        <f t="shared" si="2"/>
        <v>727.5471545748303</v>
      </c>
      <c r="J62" s="87" t="s">
        <v>235</v>
      </c>
      <c r="K62" s="83">
        <f t="shared" si="16"/>
        <v>7346.7224666666943</v>
      </c>
      <c r="L62" s="84">
        <f t="shared" si="13"/>
        <v>99.280033333333321</v>
      </c>
      <c r="M62" s="85">
        <f t="shared" si="3"/>
        <v>122.44537444444491</v>
      </c>
      <c r="N62" s="83">
        <f t="shared" si="4"/>
        <v>221.72540777777823</v>
      </c>
      <c r="S62" s="87" t="s">
        <v>235</v>
      </c>
      <c r="T62" s="83">
        <f t="shared" si="18"/>
        <v>6744.0048555555641</v>
      </c>
      <c r="U62" s="84">
        <f t="shared" si="14"/>
        <v>78.418661111111106</v>
      </c>
      <c r="V62" s="85">
        <f t="shared" si="5"/>
        <v>112.40008092592608</v>
      </c>
      <c r="W62" s="83">
        <f t="shared" si="6"/>
        <v>190.81874203703717</v>
      </c>
      <c r="Z62" s="87" t="s">
        <v>235</v>
      </c>
      <c r="AA62" s="83">
        <f t="shared" si="7"/>
        <v>36274.952035487542</v>
      </c>
      <c r="AB62" s="83">
        <f t="shared" si="8"/>
        <v>535.50877046485334</v>
      </c>
      <c r="AC62" s="83">
        <f t="shared" si="9"/>
        <v>604.58253392479241</v>
      </c>
      <c r="AD62" s="83">
        <f t="shared" si="10"/>
        <v>1140.0913043896458</v>
      </c>
      <c r="AF62" s="88">
        <f t="shared" si="15"/>
        <v>0</v>
      </c>
    </row>
    <row r="63" spans="2:32" x14ac:dyDescent="0.25">
      <c r="C63" s="87" t="s">
        <v>236</v>
      </c>
      <c r="D63" s="83">
        <f t="shared" si="11"/>
        <v>21826.414637244874</v>
      </c>
      <c r="E63" s="84">
        <f t="shared" si="12"/>
        <v>357.81007602040887</v>
      </c>
      <c r="F63" s="85">
        <f t="shared" si="17"/>
        <v>363.77357728741458</v>
      </c>
      <c r="G63" s="83">
        <f t="shared" si="2"/>
        <v>721.5836533078234</v>
      </c>
      <c r="H63" s="88">
        <f>SUM(F52:F63)</f>
        <v>4758.874011071427</v>
      </c>
      <c r="J63" s="87" t="s">
        <v>236</v>
      </c>
      <c r="K63" s="83">
        <f t="shared" si="16"/>
        <v>7247.4424333333609</v>
      </c>
      <c r="L63" s="84">
        <f t="shared" si="13"/>
        <v>99.280033333333321</v>
      </c>
      <c r="M63" s="85">
        <f t="shared" si="3"/>
        <v>120.79070722222269</v>
      </c>
      <c r="N63" s="83">
        <f t="shared" si="4"/>
        <v>220.07074055555603</v>
      </c>
      <c r="O63" s="88">
        <f>SUM(M52:M63)</f>
        <v>1558.696523333339</v>
      </c>
      <c r="S63" s="87" t="s">
        <v>236</v>
      </c>
      <c r="T63" s="83">
        <f t="shared" si="18"/>
        <v>6665.5861944444532</v>
      </c>
      <c r="U63" s="84">
        <f t="shared" si="14"/>
        <v>78.418661111111106</v>
      </c>
      <c r="V63" s="85">
        <f t="shared" si="5"/>
        <v>111.0931032407409</v>
      </c>
      <c r="W63" s="83">
        <f t="shared" si="6"/>
        <v>189.51176435185201</v>
      </c>
      <c r="X63" s="88">
        <f>SUM(V52:V63)</f>
        <v>1419.3777661111128</v>
      </c>
      <c r="Z63" s="87" t="s">
        <v>236</v>
      </c>
      <c r="AA63" s="83">
        <f t="shared" si="7"/>
        <v>35739.443265022688</v>
      </c>
      <c r="AB63" s="83">
        <f t="shared" si="8"/>
        <v>535.50877046485334</v>
      </c>
      <c r="AC63" s="83">
        <f t="shared" si="9"/>
        <v>595.65738775037812</v>
      </c>
      <c r="AD63" s="83">
        <f t="shared" si="10"/>
        <v>1131.1661582152315</v>
      </c>
      <c r="AE63" s="88">
        <f>SUM(AC52:AC63)</f>
        <v>7736.9483005158781</v>
      </c>
      <c r="AF63" s="88">
        <f t="shared" si="15"/>
        <v>7736.9483005158781</v>
      </c>
    </row>
    <row r="64" spans="2:32" x14ac:dyDescent="0.25">
      <c r="B64">
        <f>B52+1</f>
        <v>2030</v>
      </c>
      <c r="C64" s="82" t="s">
        <v>225</v>
      </c>
      <c r="D64" s="83">
        <f t="shared" si="11"/>
        <v>21468.604561224463</v>
      </c>
      <c r="E64" s="84">
        <f t="shared" si="12"/>
        <v>357.81007602040887</v>
      </c>
      <c r="F64" s="85">
        <f t="shared" si="17"/>
        <v>357.81007602040773</v>
      </c>
      <c r="G64" s="83">
        <f t="shared" si="2"/>
        <v>715.62015204081661</v>
      </c>
      <c r="I64">
        <f>I52+1</f>
        <v>2030</v>
      </c>
      <c r="J64" s="82" t="s">
        <v>225</v>
      </c>
      <c r="K64" s="83">
        <f t="shared" si="16"/>
        <v>7148.1624000000274</v>
      </c>
      <c r="L64" s="84">
        <f t="shared" si="13"/>
        <v>99.280033333333321</v>
      </c>
      <c r="M64" s="85">
        <f t="shared" si="3"/>
        <v>119.13604000000048</v>
      </c>
      <c r="N64" s="83">
        <f t="shared" si="4"/>
        <v>218.4160733333338</v>
      </c>
      <c r="R64">
        <f>R52+1</f>
        <v>2030</v>
      </c>
      <c r="S64" s="82" t="s">
        <v>225</v>
      </c>
      <c r="T64" s="83">
        <f t="shared" si="18"/>
        <v>6587.1675333333424</v>
      </c>
      <c r="U64" s="84">
        <f t="shared" si="14"/>
        <v>78.418661111111106</v>
      </c>
      <c r="V64" s="85">
        <f t="shared" si="5"/>
        <v>109.78612555555571</v>
      </c>
      <c r="W64" s="83">
        <f t="shared" si="6"/>
        <v>188.20478666666682</v>
      </c>
      <c r="Y64">
        <v>2032</v>
      </c>
      <c r="Z64" s="82" t="s">
        <v>225</v>
      </c>
      <c r="AA64" s="83">
        <f t="shared" si="7"/>
        <v>35203.934494557834</v>
      </c>
      <c r="AB64" s="83">
        <f t="shared" si="8"/>
        <v>535.50877046485334</v>
      </c>
      <c r="AC64" s="83">
        <f t="shared" si="9"/>
        <v>586.73224157596394</v>
      </c>
      <c r="AD64" s="83">
        <f t="shared" si="10"/>
        <v>1122.2410120408172</v>
      </c>
      <c r="AF64" s="88">
        <f t="shared" si="15"/>
        <v>0</v>
      </c>
    </row>
    <row r="65" spans="2:32" x14ac:dyDescent="0.25">
      <c r="C65" s="87" t="s">
        <v>226</v>
      </c>
      <c r="D65" s="83">
        <f t="shared" si="11"/>
        <v>21110.794485204053</v>
      </c>
      <c r="E65" s="84">
        <f t="shared" si="12"/>
        <v>357.81007602040887</v>
      </c>
      <c r="F65" s="85">
        <f t="shared" si="17"/>
        <v>351.84657475340094</v>
      </c>
      <c r="G65" s="83">
        <f t="shared" si="2"/>
        <v>709.65665077380982</v>
      </c>
      <c r="J65" s="87" t="s">
        <v>226</v>
      </c>
      <c r="K65" s="83">
        <f t="shared" si="16"/>
        <v>7048.882366666694</v>
      </c>
      <c r="L65" s="84">
        <f t="shared" si="13"/>
        <v>99.280033333333321</v>
      </c>
      <c r="M65" s="85">
        <f t="shared" si="3"/>
        <v>117.48137277777823</v>
      </c>
      <c r="N65" s="83">
        <f t="shared" si="4"/>
        <v>216.76140611111157</v>
      </c>
      <c r="S65" s="87" t="s">
        <v>226</v>
      </c>
      <c r="T65" s="83">
        <f t="shared" si="18"/>
        <v>6508.7488722222315</v>
      </c>
      <c r="U65" s="84">
        <f t="shared" si="14"/>
        <v>78.418661111111106</v>
      </c>
      <c r="V65" s="85">
        <f t="shared" si="5"/>
        <v>108.47914787037053</v>
      </c>
      <c r="W65" s="83">
        <f t="shared" si="6"/>
        <v>186.89780898148163</v>
      </c>
      <c r="Z65" s="87" t="s">
        <v>226</v>
      </c>
      <c r="AA65" s="83">
        <f t="shared" si="7"/>
        <v>34668.42572409298</v>
      </c>
      <c r="AB65" s="83">
        <f t="shared" si="8"/>
        <v>535.50877046485334</v>
      </c>
      <c r="AC65" s="83">
        <f t="shared" si="9"/>
        <v>577.80709540154976</v>
      </c>
      <c r="AD65" s="83">
        <f t="shared" si="10"/>
        <v>1113.3158658664031</v>
      </c>
      <c r="AF65" s="88">
        <f t="shared" si="15"/>
        <v>0</v>
      </c>
    </row>
    <row r="66" spans="2:32" x14ac:dyDescent="0.25">
      <c r="C66" s="87" t="s">
        <v>227</v>
      </c>
      <c r="D66" s="83">
        <f t="shared" si="11"/>
        <v>20752.984409183642</v>
      </c>
      <c r="E66" s="84">
        <f t="shared" si="12"/>
        <v>357.81007602040887</v>
      </c>
      <c r="F66" s="85">
        <f t="shared" si="17"/>
        <v>345.88307348639404</v>
      </c>
      <c r="G66" s="83">
        <f t="shared" si="2"/>
        <v>703.69314950680291</v>
      </c>
      <c r="J66" s="87" t="s">
        <v>227</v>
      </c>
      <c r="K66" s="83">
        <f t="shared" si="16"/>
        <v>6949.6023333333605</v>
      </c>
      <c r="L66" s="84">
        <f t="shared" si="13"/>
        <v>99.280033333333321</v>
      </c>
      <c r="M66" s="85">
        <f t="shared" si="3"/>
        <v>115.82670555555602</v>
      </c>
      <c r="N66" s="83">
        <f t="shared" si="4"/>
        <v>215.10673888888934</v>
      </c>
      <c r="S66" s="87" t="s">
        <v>227</v>
      </c>
      <c r="T66" s="83">
        <f t="shared" si="18"/>
        <v>6430.3302111111207</v>
      </c>
      <c r="U66" s="84">
        <f t="shared" si="14"/>
        <v>78.418661111111106</v>
      </c>
      <c r="V66" s="85">
        <f t="shared" si="5"/>
        <v>107.17217018518535</v>
      </c>
      <c r="W66" s="83">
        <f t="shared" si="6"/>
        <v>185.59083129629647</v>
      </c>
      <c r="Z66" s="87" t="s">
        <v>227</v>
      </c>
      <c r="AA66" s="83">
        <f t="shared" si="7"/>
        <v>34132.916953628126</v>
      </c>
      <c r="AB66" s="83">
        <f t="shared" si="8"/>
        <v>535.50877046485334</v>
      </c>
      <c r="AC66" s="83">
        <f t="shared" si="9"/>
        <v>568.88194922713546</v>
      </c>
      <c r="AD66" s="83">
        <f t="shared" si="10"/>
        <v>1104.3907196919888</v>
      </c>
      <c r="AF66" s="88">
        <f t="shared" si="15"/>
        <v>0</v>
      </c>
    </row>
    <row r="67" spans="2:32" x14ac:dyDescent="0.25">
      <c r="C67" s="87" t="s">
        <v>228</v>
      </c>
      <c r="D67" s="83">
        <f t="shared" si="11"/>
        <v>20395.174333163231</v>
      </c>
      <c r="E67" s="84">
        <f t="shared" si="12"/>
        <v>357.81007602040887</v>
      </c>
      <c r="F67" s="85">
        <f t="shared" si="17"/>
        <v>339.91957221938719</v>
      </c>
      <c r="G67" s="83">
        <f t="shared" si="2"/>
        <v>697.72964823979601</v>
      </c>
      <c r="J67" s="87" t="s">
        <v>228</v>
      </c>
      <c r="K67" s="83">
        <f t="shared" si="16"/>
        <v>6850.3223000000271</v>
      </c>
      <c r="L67" s="84">
        <f t="shared" si="13"/>
        <v>99.280033333333321</v>
      </c>
      <c r="M67" s="85">
        <f t="shared" si="3"/>
        <v>114.17203833333379</v>
      </c>
      <c r="N67" s="83">
        <f t="shared" si="4"/>
        <v>213.45207166666711</v>
      </c>
      <c r="S67" s="87" t="s">
        <v>228</v>
      </c>
      <c r="T67" s="83">
        <f t="shared" si="18"/>
        <v>6351.9115500000098</v>
      </c>
      <c r="U67" s="84">
        <f t="shared" si="14"/>
        <v>78.418661111111106</v>
      </c>
      <c r="V67" s="85">
        <f t="shared" si="5"/>
        <v>105.86519250000016</v>
      </c>
      <c r="W67" s="83">
        <f t="shared" si="6"/>
        <v>184.28385361111128</v>
      </c>
      <c r="Z67" s="87" t="s">
        <v>228</v>
      </c>
      <c r="AA67" s="83">
        <f t="shared" si="7"/>
        <v>33597.408183163272</v>
      </c>
      <c r="AB67" s="83">
        <f t="shared" si="8"/>
        <v>535.50877046485334</v>
      </c>
      <c r="AC67" s="83">
        <f t="shared" si="9"/>
        <v>559.95680305272117</v>
      </c>
      <c r="AD67" s="83">
        <f t="shared" si="10"/>
        <v>1095.4655735175743</v>
      </c>
      <c r="AF67" s="88">
        <f t="shared" si="15"/>
        <v>0</v>
      </c>
    </row>
    <row r="68" spans="2:32" x14ac:dyDescent="0.25">
      <c r="C68" s="87" t="s">
        <v>229</v>
      </c>
      <c r="D68" s="83">
        <f t="shared" si="11"/>
        <v>20037.364257142821</v>
      </c>
      <c r="E68" s="84">
        <f t="shared" si="12"/>
        <v>357.81007602040887</v>
      </c>
      <c r="F68" s="85">
        <f t="shared" si="17"/>
        <v>333.95607095238034</v>
      </c>
      <c r="G68" s="83">
        <f t="shared" si="2"/>
        <v>691.76614697278922</v>
      </c>
      <c r="J68" s="87" t="s">
        <v>229</v>
      </c>
      <c r="K68" s="83">
        <f t="shared" si="16"/>
        <v>6751.0422666666936</v>
      </c>
      <c r="L68" s="84">
        <f t="shared" si="13"/>
        <v>99.280033333333321</v>
      </c>
      <c r="M68" s="85">
        <f t="shared" si="3"/>
        <v>112.51737111111157</v>
      </c>
      <c r="N68" s="83">
        <f t="shared" ref="N68:N123" si="19">L68+M68</f>
        <v>211.79740444444491</v>
      </c>
      <c r="S68" s="87" t="s">
        <v>229</v>
      </c>
      <c r="T68" s="83">
        <f t="shared" si="18"/>
        <v>6273.492888888899</v>
      </c>
      <c r="U68" s="84">
        <f t="shared" si="14"/>
        <v>78.418661111111106</v>
      </c>
      <c r="V68" s="85">
        <f t="shared" si="5"/>
        <v>104.558214814815</v>
      </c>
      <c r="W68" s="83">
        <f t="shared" si="6"/>
        <v>182.97687592592609</v>
      </c>
      <c r="Z68" s="87" t="s">
        <v>229</v>
      </c>
      <c r="AA68" s="83">
        <f t="shared" si="7"/>
        <v>33061.899412698411</v>
      </c>
      <c r="AB68" s="83">
        <f t="shared" si="8"/>
        <v>535.50877046485334</v>
      </c>
      <c r="AC68" s="83">
        <f t="shared" si="9"/>
        <v>551.03165687830688</v>
      </c>
      <c r="AD68" s="83">
        <f t="shared" si="10"/>
        <v>1086.5404273431602</v>
      </c>
      <c r="AF68" s="88">
        <f t="shared" si="15"/>
        <v>0</v>
      </c>
    </row>
    <row r="69" spans="2:32" x14ac:dyDescent="0.25">
      <c r="C69" s="87" t="s">
        <v>230</v>
      </c>
      <c r="D69" s="83">
        <f t="shared" si="11"/>
        <v>19679.55418112241</v>
      </c>
      <c r="E69" s="84">
        <f t="shared" si="12"/>
        <v>357.81007602040887</v>
      </c>
      <c r="F69" s="85">
        <f t="shared" ref="F69:F122" si="20">D69*$C$2/12</f>
        <v>327.99256968537355</v>
      </c>
      <c r="G69" s="83">
        <f t="shared" ref="G69:G122" si="21">E69+F69</f>
        <v>685.80264570578242</v>
      </c>
      <c r="J69" s="87" t="s">
        <v>230</v>
      </c>
      <c r="K69" s="83">
        <f t="shared" si="16"/>
        <v>6651.7622333333602</v>
      </c>
      <c r="L69" s="84">
        <f t="shared" si="13"/>
        <v>99.280033333333321</v>
      </c>
      <c r="M69" s="85">
        <f t="shared" ref="M69:M123" si="22">K69*$C$2/12</f>
        <v>110.86270388888936</v>
      </c>
      <c r="N69" s="83">
        <f t="shared" si="19"/>
        <v>210.14273722222268</v>
      </c>
      <c r="S69" s="87" t="s">
        <v>230</v>
      </c>
      <c r="T69" s="83">
        <f t="shared" si="18"/>
        <v>6195.0742277777881</v>
      </c>
      <c r="U69" s="84">
        <f t="shared" si="14"/>
        <v>78.418661111111106</v>
      </c>
      <c r="V69" s="85">
        <f t="shared" ref="V69:V123" si="23">T69*$C$2/12</f>
        <v>103.25123712962981</v>
      </c>
      <c r="W69" s="83">
        <f t="shared" ref="W69:W123" si="24">U69+V69</f>
        <v>181.66989824074091</v>
      </c>
      <c r="Z69" s="87" t="s">
        <v>230</v>
      </c>
      <c r="AA69" s="83">
        <f t="shared" ref="AA69:AA132" si="25">K69+D69+T69</f>
        <v>32526.390642233557</v>
      </c>
      <c r="AB69" s="83">
        <f t="shared" ref="AB69:AB132" si="26">L69+E69+U69</f>
        <v>535.50877046485334</v>
      </c>
      <c r="AC69" s="83">
        <f t="shared" ref="AC69:AC132" si="27">M69+F69+V69</f>
        <v>542.1065107038927</v>
      </c>
      <c r="AD69" s="83">
        <f t="shared" ref="AD69:AD132" si="28">N69+G69+W69</f>
        <v>1077.6152811687459</v>
      </c>
      <c r="AF69" s="88">
        <f t="shared" si="15"/>
        <v>0</v>
      </c>
    </row>
    <row r="70" spans="2:32" x14ac:dyDescent="0.25">
      <c r="C70" s="87" t="s">
        <v>231</v>
      </c>
      <c r="D70" s="83">
        <f t="shared" ref="D70:D99" si="29">D69-E70</f>
        <v>19321.744105102</v>
      </c>
      <c r="E70" s="84">
        <f t="shared" ref="E70:E123" si="30">E69</f>
        <v>357.81007602040887</v>
      </c>
      <c r="F70" s="85">
        <f t="shared" si="20"/>
        <v>322.02906841836665</v>
      </c>
      <c r="G70" s="83">
        <f t="shared" si="21"/>
        <v>679.83914443877552</v>
      </c>
      <c r="J70" s="87" t="s">
        <v>231</v>
      </c>
      <c r="K70" s="83">
        <f t="shared" ref="K70:K123" si="31">K69-L70</f>
        <v>6552.4822000000268</v>
      </c>
      <c r="L70" s="84">
        <f t="shared" ref="L70:L133" si="32">L69</f>
        <v>99.280033333333321</v>
      </c>
      <c r="M70" s="85">
        <f t="shared" si="22"/>
        <v>109.20803666666711</v>
      </c>
      <c r="N70" s="83">
        <f t="shared" si="19"/>
        <v>208.48807000000045</v>
      </c>
      <c r="S70" s="87" t="s">
        <v>231</v>
      </c>
      <c r="T70" s="83">
        <f t="shared" ref="T70:T99" si="33">T69-U70</f>
        <v>6116.6555666666773</v>
      </c>
      <c r="U70" s="84">
        <f t="shared" ref="U70:U133" si="34">U69</f>
        <v>78.418661111111106</v>
      </c>
      <c r="V70" s="85">
        <f t="shared" si="23"/>
        <v>101.94425944444463</v>
      </c>
      <c r="W70" s="83">
        <f t="shared" si="24"/>
        <v>180.36292055555572</v>
      </c>
      <c r="Z70" s="87" t="s">
        <v>231</v>
      </c>
      <c r="AA70" s="83">
        <f t="shared" si="25"/>
        <v>31990.881871768703</v>
      </c>
      <c r="AB70" s="83">
        <f t="shared" si="26"/>
        <v>535.50877046485334</v>
      </c>
      <c r="AC70" s="83">
        <f t="shared" si="27"/>
        <v>533.1813645294784</v>
      </c>
      <c r="AD70" s="83">
        <f t="shared" si="28"/>
        <v>1068.6901349943316</v>
      </c>
      <c r="AF70" s="88">
        <f t="shared" si="15"/>
        <v>0</v>
      </c>
    </row>
    <row r="71" spans="2:32" x14ac:dyDescent="0.25">
      <c r="C71" s="87" t="s">
        <v>232</v>
      </c>
      <c r="D71" s="83">
        <f t="shared" si="29"/>
        <v>18963.934029081589</v>
      </c>
      <c r="E71" s="84">
        <f t="shared" si="30"/>
        <v>357.81007602040887</v>
      </c>
      <c r="F71" s="85">
        <f t="shared" si="20"/>
        <v>316.06556715135986</v>
      </c>
      <c r="G71" s="83">
        <f t="shared" si="21"/>
        <v>673.87564317176873</v>
      </c>
      <c r="J71" s="87" t="s">
        <v>232</v>
      </c>
      <c r="K71" s="83">
        <f t="shared" si="31"/>
        <v>6453.2021666666933</v>
      </c>
      <c r="L71" s="84">
        <f t="shared" si="32"/>
        <v>99.280033333333321</v>
      </c>
      <c r="M71" s="85">
        <f t="shared" si="22"/>
        <v>107.5533694444449</v>
      </c>
      <c r="N71" s="83">
        <f t="shared" si="19"/>
        <v>206.83340277777822</v>
      </c>
      <c r="S71" s="87" t="s">
        <v>232</v>
      </c>
      <c r="T71" s="83">
        <f t="shared" si="33"/>
        <v>6038.2369055555664</v>
      </c>
      <c r="U71" s="84">
        <f t="shared" si="34"/>
        <v>78.418661111111106</v>
      </c>
      <c r="V71" s="85">
        <f t="shared" si="23"/>
        <v>100.63728175925945</v>
      </c>
      <c r="W71" s="83">
        <f t="shared" si="24"/>
        <v>179.05594287037056</v>
      </c>
      <c r="Z71" s="87" t="s">
        <v>232</v>
      </c>
      <c r="AA71" s="83">
        <f t="shared" si="25"/>
        <v>31455.373101303849</v>
      </c>
      <c r="AB71" s="83">
        <f t="shared" si="26"/>
        <v>535.50877046485334</v>
      </c>
      <c r="AC71" s="83">
        <f t="shared" si="27"/>
        <v>524.25621835506422</v>
      </c>
      <c r="AD71" s="83">
        <f t="shared" si="28"/>
        <v>1059.7649888199176</v>
      </c>
      <c r="AF71" s="88">
        <f t="shared" si="15"/>
        <v>0</v>
      </c>
    </row>
    <row r="72" spans="2:32" x14ac:dyDescent="0.25">
      <c r="C72" s="87" t="s">
        <v>233</v>
      </c>
      <c r="D72" s="83">
        <f t="shared" si="29"/>
        <v>18606.123953061178</v>
      </c>
      <c r="E72" s="84">
        <f t="shared" si="30"/>
        <v>357.81007602040887</v>
      </c>
      <c r="F72" s="85">
        <f t="shared" si="20"/>
        <v>310.10206588435295</v>
      </c>
      <c r="G72" s="83">
        <f t="shared" si="21"/>
        <v>667.91214190476182</v>
      </c>
      <c r="J72" s="87" t="s">
        <v>233</v>
      </c>
      <c r="K72" s="83">
        <f t="shared" si="31"/>
        <v>6353.9221333333599</v>
      </c>
      <c r="L72" s="84">
        <f t="shared" si="32"/>
        <v>99.280033333333321</v>
      </c>
      <c r="M72" s="85">
        <f t="shared" si="22"/>
        <v>105.89870222222267</v>
      </c>
      <c r="N72" s="83">
        <f t="shared" si="19"/>
        <v>205.17873555555599</v>
      </c>
      <c r="S72" s="87" t="s">
        <v>233</v>
      </c>
      <c r="T72" s="83">
        <f t="shared" si="33"/>
        <v>5959.8182444444556</v>
      </c>
      <c r="U72" s="84">
        <f t="shared" si="34"/>
        <v>78.418661111111106</v>
      </c>
      <c r="V72" s="85">
        <f t="shared" si="23"/>
        <v>99.330304074074263</v>
      </c>
      <c r="W72" s="83">
        <f t="shared" si="24"/>
        <v>177.74896518518537</v>
      </c>
      <c r="Z72" s="87" t="s">
        <v>233</v>
      </c>
      <c r="AA72" s="83">
        <f t="shared" si="25"/>
        <v>30919.864330838995</v>
      </c>
      <c r="AB72" s="83">
        <f t="shared" si="26"/>
        <v>535.50877046485334</v>
      </c>
      <c r="AC72" s="83">
        <f t="shared" si="27"/>
        <v>515.33107218064993</v>
      </c>
      <c r="AD72" s="83">
        <f t="shared" si="28"/>
        <v>1050.8398426455033</v>
      </c>
      <c r="AF72" s="88">
        <f t="shared" si="15"/>
        <v>0</v>
      </c>
    </row>
    <row r="73" spans="2:32" x14ac:dyDescent="0.25">
      <c r="C73" s="87" t="s">
        <v>234</v>
      </c>
      <c r="D73" s="83">
        <f t="shared" si="29"/>
        <v>18248.313877040768</v>
      </c>
      <c r="E73" s="84">
        <f t="shared" si="30"/>
        <v>357.81007602040887</v>
      </c>
      <c r="F73" s="85">
        <f t="shared" si="20"/>
        <v>304.13856461734616</v>
      </c>
      <c r="G73" s="83">
        <f t="shared" si="21"/>
        <v>661.94864063775503</v>
      </c>
      <c r="J73" s="87" t="s">
        <v>234</v>
      </c>
      <c r="K73" s="83">
        <f t="shared" si="31"/>
        <v>6254.6421000000264</v>
      </c>
      <c r="L73" s="84">
        <f t="shared" si="32"/>
        <v>99.280033333333321</v>
      </c>
      <c r="M73" s="85">
        <f t="shared" si="22"/>
        <v>104.24403500000045</v>
      </c>
      <c r="N73" s="83">
        <f t="shared" si="19"/>
        <v>203.52406833333379</v>
      </c>
      <c r="S73" s="87" t="s">
        <v>234</v>
      </c>
      <c r="T73" s="83">
        <f t="shared" si="33"/>
        <v>5881.3995833333447</v>
      </c>
      <c r="U73" s="84">
        <f t="shared" si="34"/>
        <v>78.418661111111106</v>
      </c>
      <c r="V73" s="85">
        <f t="shared" si="23"/>
        <v>98.023326388889075</v>
      </c>
      <c r="W73" s="83">
        <f t="shared" si="24"/>
        <v>176.44198750000018</v>
      </c>
      <c r="Z73" s="87" t="s">
        <v>234</v>
      </c>
      <c r="AA73" s="83">
        <f t="shared" si="25"/>
        <v>30384.355560374141</v>
      </c>
      <c r="AB73" s="83">
        <f t="shared" si="26"/>
        <v>535.50877046485334</v>
      </c>
      <c r="AC73" s="83">
        <f t="shared" si="27"/>
        <v>506.40592600623569</v>
      </c>
      <c r="AD73" s="83">
        <f t="shared" si="28"/>
        <v>1041.914696471089</v>
      </c>
      <c r="AF73" s="88">
        <f t="shared" si="15"/>
        <v>0</v>
      </c>
    </row>
    <row r="74" spans="2:32" x14ac:dyDescent="0.25">
      <c r="C74" s="87" t="s">
        <v>235</v>
      </c>
      <c r="D74" s="83">
        <f t="shared" si="29"/>
        <v>17890.503801020357</v>
      </c>
      <c r="E74" s="84">
        <f t="shared" si="30"/>
        <v>357.81007602040887</v>
      </c>
      <c r="F74" s="85">
        <f t="shared" si="20"/>
        <v>298.17506335033931</v>
      </c>
      <c r="G74" s="83">
        <f t="shared" si="21"/>
        <v>655.98513937074813</v>
      </c>
      <c r="J74" s="87" t="s">
        <v>235</v>
      </c>
      <c r="K74" s="83">
        <f t="shared" si="31"/>
        <v>6155.362066666693</v>
      </c>
      <c r="L74" s="84">
        <f t="shared" si="32"/>
        <v>99.280033333333321</v>
      </c>
      <c r="M74" s="85">
        <f t="shared" si="22"/>
        <v>102.58936777777824</v>
      </c>
      <c r="N74" s="83">
        <f t="shared" si="19"/>
        <v>201.86940111111156</v>
      </c>
      <c r="S74" s="87" t="s">
        <v>235</v>
      </c>
      <c r="T74" s="83">
        <f t="shared" si="33"/>
        <v>5802.9809222222339</v>
      </c>
      <c r="U74" s="84">
        <f t="shared" si="34"/>
        <v>78.418661111111106</v>
      </c>
      <c r="V74" s="85">
        <f t="shared" si="23"/>
        <v>96.7163487037039</v>
      </c>
      <c r="W74" s="83">
        <f t="shared" si="24"/>
        <v>175.13500981481502</v>
      </c>
      <c r="Z74" s="87" t="s">
        <v>235</v>
      </c>
      <c r="AA74" s="83">
        <f t="shared" si="25"/>
        <v>29848.846789909287</v>
      </c>
      <c r="AB74" s="83">
        <f t="shared" si="26"/>
        <v>535.50877046485334</v>
      </c>
      <c r="AC74" s="83">
        <f t="shared" si="27"/>
        <v>497.48077983182145</v>
      </c>
      <c r="AD74" s="83">
        <f t="shared" si="28"/>
        <v>1032.9895502966747</v>
      </c>
      <c r="AF74" s="88">
        <f t="shared" si="15"/>
        <v>0</v>
      </c>
    </row>
    <row r="75" spans="2:32" x14ac:dyDescent="0.25">
      <c r="C75" s="87" t="s">
        <v>236</v>
      </c>
      <c r="D75" s="83">
        <f t="shared" si="29"/>
        <v>17532.693724999946</v>
      </c>
      <c r="E75" s="84">
        <f t="shared" si="30"/>
        <v>357.81007602040887</v>
      </c>
      <c r="F75" s="85">
        <f t="shared" si="20"/>
        <v>292.21156208333247</v>
      </c>
      <c r="G75" s="83">
        <f t="shared" si="21"/>
        <v>650.02163810374134</v>
      </c>
      <c r="H75" s="88">
        <f>SUM(F64:F75)</f>
        <v>3900.1298286224414</v>
      </c>
      <c r="J75" s="87" t="s">
        <v>236</v>
      </c>
      <c r="K75" s="83">
        <f t="shared" si="31"/>
        <v>6056.0820333333595</v>
      </c>
      <c r="L75" s="84">
        <f t="shared" si="32"/>
        <v>99.280033333333321</v>
      </c>
      <c r="M75" s="85">
        <f t="shared" si="22"/>
        <v>100.93470055555599</v>
      </c>
      <c r="N75" s="83">
        <f t="shared" si="19"/>
        <v>200.21473388888933</v>
      </c>
      <c r="O75" s="88">
        <f>SUM(M64:M75)</f>
        <v>1320.4244433333388</v>
      </c>
      <c r="S75" s="87" t="s">
        <v>236</v>
      </c>
      <c r="T75" s="83">
        <f t="shared" si="33"/>
        <v>5724.562261111123</v>
      </c>
      <c r="U75" s="84">
        <f t="shared" si="34"/>
        <v>78.418661111111106</v>
      </c>
      <c r="V75" s="85">
        <f t="shared" si="23"/>
        <v>95.409371018518712</v>
      </c>
      <c r="W75" s="83">
        <f t="shared" si="24"/>
        <v>173.82803212962983</v>
      </c>
      <c r="X75" s="88">
        <f>SUM(V64:V75)</f>
        <v>1231.1729794444464</v>
      </c>
      <c r="Z75" s="87" t="s">
        <v>236</v>
      </c>
      <c r="AA75" s="83">
        <f t="shared" si="25"/>
        <v>29313.338019444433</v>
      </c>
      <c r="AB75" s="83">
        <f t="shared" si="26"/>
        <v>535.50877046485334</v>
      </c>
      <c r="AC75" s="83">
        <f t="shared" si="27"/>
        <v>488.55563365740716</v>
      </c>
      <c r="AD75" s="83">
        <f t="shared" si="28"/>
        <v>1024.0644041222604</v>
      </c>
      <c r="AE75" s="88">
        <f>SUM(AC64:AC75)</f>
        <v>6451.727251400227</v>
      </c>
      <c r="AF75" s="88">
        <f t="shared" si="15"/>
        <v>6451.7272514002261</v>
      </c>
    </row>
    <row r="76" spans="2:32" x14ac:dyDescent="0.25">
      <c r="B76">
        <f>B64+1</f>
        <v>2031</v>
      </c>
      <c r="C76" s="93" t="s">
        <v>225</v>
      </c>
      <c r="D76" s="83">
        <f t="shared" si="29"/>
        <v>17174.883648979536</v>
      </c>
      <c r="E76" s="84">
        <f t="shared" si="30"/>
        <v>357.81007602040887</v>
      </c>
      <c r="F76" s="85">
        <f t="shared" si="20"/>
        <v>286.24806081632562</v>
      </c>
      <c r="G76" s="94">
        <f t="shared" si="21"/>
        <v>644.05813683673455</v>
      </c>
      <c r="I76">
        <f>I64+1</f>
        <v>2031</v>
      </c>
      <c r="J76" s="93" t="s">
        <v>225</v>
      </c>
      <c r="K76" s="83">
        <f t="shared" si="31"/>
        <v>5956.8020000000261</v>
      </c>
      <c r="L76" s="84">
        <f t="shared" si="32"/>
        <v>99.280033333333321</v>
      </c>
      <c r="M76" s="85">
        <f t="shared" si="22"/>
        <v>99.280033333333776</v>
      </c>
      <c r="N76" s="94">
        <f t="shared" si="19"/>
        <v>198.5600666666671</v>
      </c>
      <c r="R76">
        <f>R64+1</f>
        <v>2031</v>
      </c>
      <c r="S76" s="93" t="s">
        <v>225</v>
      </c>
      <c r="T76" s="83">
        <f t="shared" si="33"/>
        <v>5646.1436000000122</v>
      </c>
      <c r="U76" s="84">
        <f t="shared" si="34"/>
        <v>78.418661111111106</v>
      </c>
      <c r="V76" s="85">
        <f t="shared" si="23"/>
        <v>94.102393333333552</v>
      </c>
      <c r="W76" s="94">
        <f t="shared" si="24"/>
        <v>172.52105444444464</v>
      </c>
      <c r="Y76" s="90">
        <v>2033</v>
      </c>
      <c r="Z76" s="93" t="s">
        <v>225</v>
      </c>
      <c r="AA76" s="83">
        <f t="shared" si="25"/>
        <v>28777.829248979571</v>
      </c>
      <c r="AB76" s="83">
        <f t="shared" si="26"/>
        <v>535.50877046485334</v>
      </c>
      <c r="AC76" s="83">
        <f t="shared" si="27"/>
        <v>479.63048748299298</v>
      </c>
      <c r="AD76" s="83">
        <f t="shared" si="28"/>
        <v>1015.1392579478463</v>
      </c>
      <c r="AF76" s="88">
        <f t="shared" si="15"/>
        <v>0</v>
      </c>
    </row>
    <row r="77" spans="2:32" x14ac:dyDescent="0.25">
      <c r="B77" s="90"/>
      <c r="C77" s="95" t="s">
        <v>226</v>
      </c>
      <c r="D77" s="83">
        <f t="shared" si="29"/>
        <v>16817.073572959125</v>
      </c>
      <c r="E77" s="84">
        <f t="shared" si="30"/>
        <v>357.81007602040887</v>
      </c>
      <c r="F77" s="85">
        <f t="shared" si="20"/>
        <v>280.28455954931877</v>
      </c>
      <c r="G77" s="94">
        <f t="shared" si="21"/>
        <v>638.09463556972764</v>
      </c>
      <c r="I77" s="90"/>
      <c r="J77" s="95" t="s">
        <v>226</v>
      </c>
      <c r="K77" s="83">
        <f t="shared" si="31"/>
        <v>5857.5219666666926</v>
      </c>
      <c r="L77" s="84">
        <f t="shared" si="32"/>
        <v>99.280033333333321</v>
      </c>
      <c r="M77" s="85">
        <f t="shared" si="22"/>
        <v>97.625366111111546</v>
      </c>
      <c r="N77" s="94">
        <f t="shared" si="19"/>
        <v>196.90539944444487</v>
      </c>
      <c r="R77" s="90"/>
      <c r="S77" s="95" t="s">
        <v>226</v>
      </c>
      <c r="T77" s="83">
        <f t="shared" si="33"/>
        <v>5567.7249388889013</v>
      </c>
      <c r="U77" s="84">
        <f t="shared" si="34"/>
        <v>78.418661111111106</v>
      </c>
      <c r="V77" s="85">
        <f t="shared" si="23"/>
        <v>92.795415648148364</v>
      </c>
      <c r="W77" s="94">
        <f t="shared" si="24"/>
        <v>171.21407675925946</v>
      </c>
      <c r="Y77" s="90"/>
      <c r="Z77" s="95" t="s">
        <v>226</v>
      </c>
      <c r="AA77" s="83">
        <f t="shared" si="25"/>
        <v>28242.320478514717</v>
      </c>
      <c r="AB77" s="83">
        <f t="shared" si="26"/>
        <v>535.50877046485334</v>
      </c>
      <c r="AC77" s="83">
        <f t="shared" si="27"/>
        <v>470.70534130857868</v>
      </c>
      <c r="AD77" s="83">
        <f t="shared" si="28"/>
        <v>1006.2141117734319</v>
      </c>
      <c r="AF77" s="88">
        <f t="shared" si="15"/>
        <v>0</v>
      </c>
    </row>
    <row r="78" spans="2:32" x14ac:dyDescent="0.25">
      <c r="B78" s="90"/>
      <c r="C78" s="95" t="s">
        <v>227</v>
      </c>
      <c r="D78" s="83">
        <f t="shared" si="29"/>
        <v>16459.263496938715</v>
      </c>
      <c r="E78" s="84">
        <f t="shared" si="30"/>
        <v>357.81007602040887</v>
      </c>
      <c r="F78" s="85">
        <f t="shared" si="20"/>
        <v>274.32105828231192</v>
      </c>
      <c r="G78" s="94">
        <f t="shared" si="21"/>
        <v>632.13113430272074</v>
      </c>
      <c r="I78" s="90"/>
      <c r="J78" s="95" t="s">
        <v>227</v>
      </c>
      <c r="K78" s="83">
        <f t="shared" si="31"/>
        <v>5758.2419333333592</v>
      </c>
      <c r="L78" s="84">
        <f t="shared" si="32"/>
        <v>99.280033333333321</v>
      </c>
      <c r="M78" s="85">
        <f t="shared" si="22"/>
        <v>95.970698888889331</v>
      </c>
      <c r="N78" s="94">
        <f t="shared" si="19"/>
        <v>195.25073222222267</v>
      </c>
      <c r="R78" s="90"/>
      <c r="S78" s="95" t="s">
        <v>227</v>
      </c>
      <c r="T78" s="83">
        <f t="shared" si="33"/>
        <v>5489.3062777777905</v>
      </c>
      <c r="U78" s="84">
        <f t="shared" si="34"/>
        <v>78.418661111111106</v>
      </c>
      <c r="V78" s="85">
        <f t="shared" si="23"/>
        <v>91.488437962963175</v>
      </c>
      <c r="W78" s="94">
        <f t="shared" si="24"/>
        <v>169.90709907407427</v>
      </c>
      <c r="Y78" s="90"/>
      <c r="Z78" s="95" t="s">
        <v>227</v>
      </c>
      <c r="AA78" s="83">
        <f t="shared" si="25"/>
        <v>27706.811708049863</v>
      </c>
      <c r="AB78" s="83">
        <f t="shared" si="26"/>
        <v>535.50877046485334</v>
      </c>
      <c r="AC78" s="83">
        <f t="shared" si="27"/>
        <v>461.78019513416444</v>
      </c>
      <c r="AD78" s="83">
        <f t="shared" si="28"/>
        <v>997.28896559901773</v>
      </c>
      <c r="AF78" s="88">
        <f t="shared" si="15"/>
        <v>0</v>
      </c>
    </row>
    <row r="79" spans="2:32" x14ac:dyDescent="0.25">
      <c r="B79" s="90"/>
      <c r="C79" s="95" t="s">
        <v>228</v>
      </c>
      <c r="D79" s="83">
        <f t="shared" si="29"/>
        <v>16101.453420918306</v>
      </c>
      <c r="E79" s="84">
        <f t="shared" si="30"/>
        <v>357.81007602040887</v>
      </c>
      <c r="F79" s="85">
        <f t="shared" si="20"/>
        <v>268.35755701530508</v>
      </c>
      <c r="G79" s="94">
        <f t="shared" si="21"/>
        <v>626.16763303571395</v>
      </c>
      <c r="I79" s="90"/>
      <c r="J79" s="95" t="s">
        <v>228</v>
      </c>
      <c r="K79" s="83">
        <f t="shared" si="31"/>
        <v>5658.9619000000257</v>
      </c>
      <c r="L79" s="84">
        <f t="shared" si="32"/>
        <v>99.280033333333321</v>
      </c>
      <c r="M79" s="85">
        <f t="shared" si="22"/>
        <v>94.316031666667087</v>
      </c>
      <c r="N79" s="94">
        <f t="shared" si="19"/>
        <v>193.59606500000041</v>
      </c>
      <c r="R79" s="90"/>
      <c r="S79" s="95" t="s">
        <v>228</v>
      </c>
      <c r="T79" s="83">
        <f t="shared" si="33"/>
        <v>5410.8876166666796</v>
      </c>
      <c r="U79" s="84">
        <f t="shared" si="34"/>
        <v>78.418661111111106</v>
      </c>
      <c r="V79" s="85">
        <f t="shared" si="23"/>
        <v>90.181460277778001</v>
      </c>
      <c r="W79" s="94">
        <f t="shared" si="24"/>
        <v>168.60012138888911</v>
      </c>
      <c r="Y79" s="90"/>
      <c r="Z79" s="95" t="s">
        <v>228</v>
      </c>
      <c r="AA79" s="83">
        <f t="shared" si="25"/>
        <v>27171.302937585009</v>
      </c>
      <c r="AB79" s="83">
        <f t="shared" si="26"/>
        <v>535.50877046485334</v>
      </c>
      <c r="AC79" s="83">
        <f t="shared" si="27"/>
        <v>452.85504895975015</v>
      </c>
      <c r="AD79" s="83">
        <f t="shared" si="28"/>
        <v>988.36381942460343</v>
      </c>
      <c r="AF79" s="88">
        <f t="shared" si="15"/>
        <v>0</v>
      </c>
    </row>
    <row r="80" spans="2:32" x14ac:dyDescent="0.25">
      <c r="B80" s="90"/>
      <c r="C80" s="95" t="s">
        <v>229</v>
      </c>
      <c r="D80" s="83">
        <f t="shared" si="29"/>
        <v>15743.643344897897</v>
      </c>
      <c r="E80" s="84">
        <f t="shared" si="30"/>
        <v>357.81007602040887</v>
      </c>
      <c r="F80" s="85">
        <f t="shared" si="20"/>
        <v>262.39405574829829</v>
      </c>
      <c r="G80" s="94">
        <f t="shared" si="21"/>
        <v>620.20413176870716</v>
      </c>
      <c r="I80" s="90"/>
      <c r="J80" s="95" t="s">
        <v>229</v>
      </c>
      <c r="K80" s="83">
        <f t="shared" si="31"/>
        <v>5559.6818666666923</v>
      </c>
      <c r="L80" s="84">
        <f t="shared" si="32"/>
        <v>99.280033333333321</v>
      </c>
      <c r="M80" s="85">
        <f t="shared" si="22"/>
        <v>92.661364444444871</v>
      </c>
      <c r="N80" s="94">
        <f t="shared" si="19"/>
        <v>191.94139777777821</v>
      </c>
      <c r="R80" s="90"/>
      <c r="S80" s="95" t="s">
        <v>229</v>
      </c>
      <c r="T80" s="83">
        <f t="shared" si="33"/>
        <v>5332.4689555555688</v>
      </c>
      <c r="U80" s="84">
        <f t="shared" si="34"/>
        <v>78.418661111111106</v>
      </c>
      <c r="V80" s="85">
        <f t="shared" si="23"/>
        <v>88.874482592592813</v>
      </c>
      <c r="W80" s="94">
        <f t="shared" si="24"/>
        <v>167.29314370370392</v>
      </c>
      <c r="Y80" s="90"/>
      <c r="Z80" s="95" t="s">
        <v>229</v>
      </c>
      <c r="AA80" s="83">
        <f t="shared" si="25"/>
        <v>26635.794167120155</v>
      </c>
      <c r="AB80" s="83">
        <f t="shared" si="26"/>
        <v>535.50877046485334</v>
      </c>
      <c r="AC80" s="83">
        <f t="shared" si="27"/>
        <v>443.92990278533597</v>
      </c>
      <c r="AD80" s="83">
        <f t="shared" si="28"/>
        <v>979.43867325018925</v>
      </c>
      <c r="AF80" s="88">
        <f t="shared" ref="AF80:AF143" si="35">H80+O80+X80</f>
        <v>0</v>
      </c>
    </row>
    <row r="81" spans="2:32" x14ac:dyDescent="0.25">
      <c r="B81" s="90"/>
      <c r="C81" s="95" t="s">
        <v>230</v>
      </c>
      <c r="D81" s="83">
        <f t="shared" si="29"/>
        <v>15385.833268877488</v>
      </c>
      <c r="E81" s="84">
        <f t="shared" si="30"/>
        <v>357.81007602040887</v>
      </c>
      <c r="F81" s="85">
        <f t="shared" si="20"/>
        <v>256.43055448129149</v>
      </c>
      <c r="G81" s="94">
        <f t="shared" si="21"/>
        <v>614.24063050170037</v>
      </c>
      <c r="I81" s="90"/>
      <c r="J81" s="95" t="s">
        <v>230</v>
      </c>
      <c r="K81" s="83">
        <f t="shared" si="31"/>
        <v>5460.4018333333588</v>
      </c>
      <c r="L81" s="84">
        <f t="shared" si="32"/>
        <v>99.280033333333321</v>
      </c>
      <c r="M81" s="85">
        <f t="shared" si="22"/>
        <v>91.006697222222655</v>
      </c>
      <c r="N81" s="94">
        <f t="shared" si="19"/>
        <v>190.28673055555598</v>
      </c>
      <c r="R81" s="90"/>
      <c r="S81" s="95" t="s">
        <v>230</v>
      </c>
      <c r="T81" s="83">
        <f t="shared" si="33"/>
        <v>5254.0502944444579</v>
      </c>
      <c r="U81" s="84">
        <f t="shared" si="34"/>
        <v>78.418661111111106</v>
      </c>
      <c r="V81" s="85">
        <f t="shared" si="23"/>
        <v>87.567504907407638</v>
      </c>
      <c r="W81" s="94">
        <f t="shared" si="24"/>
        <v>165.98616601851876</v>
      </c>
      <c r="Y81" s="90"/>
      <c r="Z81" s="95" t="s">
        <v>230</v>
      </c>
      <c r="AA81" s="83">
        <f t="shared" si="25"/>
        <v>26100.285396655308</v>
      </c>
      <c r="AB81" s="83">
        <f t="shared" si="26"/>
        <v>535.50877046485334</v>
      </c>
      <c r="AC81" s="83">
        <f t="shared" si="27"/>
        <v>435.00475661092179</v>
      </c>
      <c r="AD81" s="83">
        <f t="shared" si="28"/>
        <v>970.51352707577507</v>
      </c>
      <c r="AF81" s="88">
        <f t="shared" si="35"/>
        <v>0</v>
      </c>
    </row>
    <row r="82" spans="2:32" x14ac:dyDescent="0.25">
      <c r="B82" s="90"/>
      <c r="C82" s="95" t="s">
        <v>231</v>
      </c>
      <c r="D82" s="83">
        <f t="shared" si="29"/>
        <v>15028.023192857079</v>
      </c>
      <c r="E82" s="84">
        <f t="shared" si="30"/>
        <v>357.81007602040887</v>
      </c>
      <c r="F82" s="85">
        <f t="shared" si="20"/>
        <v>250.46705321428468</v>
      </c>
      <c r="G82" s="94">
        <f t="shared" si="21"/>
        <v>608.27712923469358</v>
      </c>
      <c r="I82" s="90"/>
      <c r="J82" s="95" t="s">
        <v>231</v>
      </c>
      <c r="K82" s="83">
        <f t="shared" si="31"/>
        <v>5361.1218000000254</v>
      </c>
      <c r="L82" s="84">
        <f t="shared" si="32"/>
        <v>99.280033333333321</v>
      </c>
      <c r="M82" s="85">
        <f t="shared" si="22"/>
        <v>89.352030000000426</v>
      </c>
      <c r="N82" s="94">
        <f t="shared" si="19"/>
        <v>188.63206333333375</v>
      </c>
      <c r="R82" s="90"/>
      <c r="S82" s="95" t="s">
        <v>231</v>
      </c>
      <c r="T82" s="83">
        <f t="shared" si="33"/>
        <v>5175.6316333333471</v>
      </c>
      <c r="U82" s="84">
        <f t="shared" si="34"/>
        <v>78.418661111111106</v>
      </c>
      <c r="V82" s="85">
        <f t="shared" si="23"/>
        <v>86.26052722222245</v>
      </c>
      <c r="W82" s="94">
        <f t="shared" si="24"/>
        <v>164.67918833333357</v>
      </c>
      <c r="Y82" s="90"/>
      <c r="Z82" s="95" t="s">
        <v>231</v>
      </c>
      <c r="AA82" s="83">
        <f t="shared" si="25"/>
        <v>25564.776626190454</v>
      </c>
      <c r="AB82" s="83">
        <f t="shared" si="26"/>
        <v>535.50877046485334</v>
      </c>
      <c r="AC82" s="83">
        <f t="shared" si="27"/>
        <v>426.07961043650755</v>
      </c>
      <c r="AD82" s="83">
        <f t="shared" si="28"/>
        <v>961.58838090136078</v>
      </c>
      <c r="AF82" s="88">
        <f t="shared" si="35"/>
        <v>0</v>
      </c>
    </row>
    <row r="83" spans="2:32" x14ac:dyDescent="0.25">
      <c r="B83" s="90"/>
      <c r="C83" s="95" t="s">
        <v>232</v>
      </c>
      <c r="D83" s="83">
        <f t="shared" si="29"/>
        <v>14670.21311683667</v>
      </c>
      <c r="E83" s="84">
        <f t="shared" si="30"/>
        <v>357.81007602040887</v>
      </c>
      <c r="F83" s="85">
        <f t="shared" si="20"/>
        <v>244.50355194727786</v>
      </c>
      <c r="G83" s="94">
        <f t="shared" si="21"/>
        <v>602.31362796768667</v>
      </c>
      <c r="I83" s="90"/>
      <c r="J83" s="95" t="s">
        <v>232</v>
      </c>
      <c r="K83" s="83">
        <f t="shared" si="31"/>
        <v>5261.8417666666919</v>
      </c>
      <c r="L83" s="84">
        <f t="shared" si="32"/>
        <v>99.280033333333321</v>
      </c>
      <c r="M83" s="85">
        <f t="shared" si="22"/>
        <v>87.69736277777821</v>
      </c>
      <c r="N83" s="94">
        <f t="shared" si="19"/>
        <v>186.97739611111155</v>
      </c>
      <c r="R83" s="90"/>
      <c r="S83" s="95" t="s">
        <v>232</v>
      </c>
      <c r="T83" s="83">
        <f t="shared" si="33"/>
        <v>5097.2129722222362</v>
      </c>
      <c r="U83" s="84">
        <f t="shared" si="34"/>
        <v>78.418661111111106</v>
      </c>
      <c r="V83" s="85">
        <f t="shared" si="23"/>
        <v>84.953549537037276</v>
      </c>
      <c r="W83" s="94">
        <f t="shared" si="24"/>
        <v>163.37221064814838</v>
      </c>
      <c r="Y83" s="90"/>
      <c r="Z83" s="95" t="s">
        <v>232</v>
      </c>
      <c r="AA83" s="83">
        <f t="shared" si="25"/>
        <v>25029.2678557256</v>
      </c>
      <c r="AB83" s="83">
        <f t="shared" si="26"/>
        <v>535.50877046485334</v>
      </c>
      <c r="AC83" s="83">
        <f t="shared" si="27"/>
        <v>417.15446426209337</v>
      </c>
      <c r="AD83" s="83">
        <f t="shared" si="28"/>
        <v>952.66323472694671</v>
      </c>
      <c r="AF83" s="88">
        <f t="shared" si="35"/>
        <v>0</v>
      </c>
    </row>
    <row r="84" spans="2:32" x14ac:dyDescent="0.25">
      <c r="B84" s="90"/>
      <c r="C84" s="95" t="s">
        <v>233</v>
      </c>
      <c r="D84" s="83">
        <f t="shared" si="29"/>
        <v>14312.403040816262</v>
      </c>
      <c r="E84" s="84">
        <f t="shared" si="30"/>
        <v>357.81007602040887</v>
      </c>
      <c r="F84" s="85">
        <f t="shared" si="20"/>
        <v>238.54005068027104</v>
      </c>
      <c r="G84" s="94">
        <f t="shared" si="21"/>
        <v>596.35012670067988</v>
      </c>
      <c r="I84" s="90"/>
      <c r="J84" s="95" t="s">
        <v>233</v>
      </c>
      <c r="K84" s="83">
        <f t="shared" si="31"/>
        <v>5162.5617333333585</v>
      </c>
      <c r="L84" s="84">
        <f t="shared" si="32"/>
        <v>99.280033333333321</v>
      </c>
      <c r="M84" s="85">
        <f t="shared" si="22"/>
        <v>86.042695555555966</v>
      </c>
      <c r="N84" s="94">
        <f t="shared" si="19"/>
        <v>185.32272888888929</v>
      </c>
      <c r="R84" s="90"/>
      <c r="S84" s="95" t="s">
        <v>233</v>
      </c>
      <c r="T84" s="83">
        <f t="shared" si="33"/>
        <v>5018.7943111111254</v>
      </c>
      <c r="U84" s="84">
        <f t="shared" si="34"/>
        <v>78.418661111111106</v>
      </c>
      <c r="V84" s="85">
        <f t="shared" si="23"/>
        <v>83.646571851852102</v>
      </c>
      <c r="W84" s="94">
        <f t="shared" si="24"/>
        <v>162.06523296296319</v>
      </c>
      <c r="Y84" s="90"/>
      <c r="Z84" s="95" t="s">
        <v>233</v>
      </c>
      <c r="AA84" s="83">
        <f t="shared" si="25"/>
        <v>24493.759085260746</v>
      </c>
      <c r="AB84" s="83">
        <f t="shared" si="26"/>
        <v>535.50877046485334</v>
      </c>
      <c r="AC84" s="83">
        <f t="shared" si="27"/>
        <v>408.22931808767913</v>
      </c>
      <c r="AD84" s="83">
        <f t="shared" si="28"/>
        <v>943.73808855253242</v>
      </c>
      <c r="AF84" s="88">
        <f t="shared" si="35"/>
        <v>0</v>
      </c>
    </row>
    <row r="85" spans="2:32" x14ac:dyDescent="0.25">
      <c r="B85" s="90"/>
      <c r="C85" s="95" t="s">
        <v>234</v>
      </c>
      <c r="D85" s="83">
        <f t="shared" si="29"/>
        <v>13954.592964795853</v>
      </c>
      <c r="E85" s="84">
        <f t="shared" si="30"/>
        <v>357.81007602040887</v>
      </c>
      <c r="F85" s="85">
        <f t="shared" si="20"/>
        <v>232.57654941326425</v>
      </c>
      <c r="G85" s="94">
        <f t="shared" si="21"/>
        <v>590.38662543367309</v>
      </c>
      <c r="I85" s="90"/>
      <c r="J85" s="95" t="s">
        <v>234</v>
      </c>
      <c r="K85" s="83">
        <f t="shared" si="31"/>
        <v>5063.281700000025</v>
      </c>
      <c r="L85" s="84">
        <f t="shared" si="32"/>
        <v>99.280033333333321</v>
      </c>
      <c r="M85" s="85">
        <f t="shared" si="22"/>
        <v>84.38802833333375</v>
      </c>
      <c r="N85" s="94">
        <f t="shared" si="19"/>
        <v>183.66806166666709</v>
      </c>
      <c r="R85" s="90"/>
      <c r="S85" s="95" t="s">
        <v>234</v>
      </c>
      <c r="T85" s="83">
        <f t="shared" si="33"/>
        <v>4940.3756500000145</v>
      </c>
      <c r="U85" s="84">
        <f t="shared" si="34"/>
        <v>78.418661111111106</v>
      </c>
      <c r="V85" s="85">
        <f t="shared" si="23"/>
        <v>82.339594166666913</v>
      </c>
      <c r="W85" s="94">
        <f t="shared" si="24"/>
        <v>160.75825527777801</v>
      </c>
      <c r="Y85" s="90"/>
      <c r="Z85" s="95" t="s">
        <v>234</v>
      </c>
      <c r="AA85" s="83">
        <f t="shared" si="25"/>
        <v>23958.250314795892</v>
      </c>
      <c r="AB85" s="83">
        <f t="shared" si="26"/>
        <v>535.50877046485334</v>
      </c>
      <c r="AC85" s="83">
        <f t="shared" si="27"/>
        <v>399.30417191326495</v>
      </c>
      <c r="AD85" s="83">
        <f t="shared" si="28"/>
        <v>934.81294237811812</v>
      </c>
      <c r="AF85" s="88">
        <f t="shared" si="35"/>
        <v>0</v>
      </c>
    </row>
    <row r="86" spans="2:32" x14ac:dyDescent="0.25">
      <c r="B86" s="90"/>
      <c r="C86" s="95" t="s">
        <v>235</v>
      </c>
      <c r="D86" s="83">
        <f t="shared" si="29"/>
        <v>13596.782888775444</v>
      </c>
      <c r="E86" s="84">
        <f t="shared" si="30"/>
        <v>357.81007602040887</v>
      </c>
      <c r="F86" s="85">
        <f t="shared" si="20"/>
        <v>226.6130481462574</v>
      </c>
      <c r="G86" s="94">
        <f t="shared" si="21"/>
        <v>584.4231241666663</v>
      </c>
      <c r="I86" s="90"/>
      <c r="J86" s="95" t="s">
        <v>235</v>
      </c>
      <c r="K86" s="83">
        <f t="shared" si="31"/>
        <v>4964.0016666666916</v>
      </c>
      <c r="L86" s="84">
        <f t="shared" si="32"/>
        <v>99.280033333333321</v>
      </c>
      <c r="M86" s="85">
        <f t="shared" si="22"/>
        <v>82.733361111111535</v>
      </c>
      <c r="N86" s="94">
        <f t="shared" si="19"/>
        <v>182.01339444444486</v>
      </c>
      <c r="R86" s="90"/>
      <c r="S86" s="95" t="s">
        <v>235</v>
      </c>
      <c r="T86" s="83">
        <f t="shared" si="33"/>
        <v>4861.9569888889037</v>
      </c>
      <c r="U86" s="84">
        <f t="shared" si="34"/>
        <v>78.418661111111106</v>
      </c>
      <c r="V86" s="85">
        <f t="shared" si="23"/>
        <v>81.032616481481725</v>
      </c>
      <c r="W86" s="94">
        <f t="shared" si="24"/>
        <v>159.45127759259282</v>
      </c>
      <c r="Y86" s="90"/>
      <c r="Z86" s="95" t="s">
        <v>235</v>
      </c>
      <c r="AA86" s="83">
        <f t="shared" si="25"/>
        <v>23422.741544331038</v>
      </c>
      <c r="AB86" s="83">
        <f t="shared" si="26"/>
        <v>535.50877046485334</v>
      </c>
      <c r="AC86" s="83">
        <f t="shared" si="27"/>
        <v>390.37902573885066</v>
      </c>
      <c r="AD86" s="83">
        <f t="shared" si="28"/>
        <v>925.88779620370406</v>
      </c>
      <c r="AF86" s="88">
        <f t="shared" si="35"/>
        <v>0</v>
      </c>
    </row>
    <row r="87" spans="2:32" x14ac:dyDescent="0.25">
      <c r="B87" s="90"/>
      <c r="C87" s="95" t="s">
        <v>236</v>
      </c>
      <c r="D87" s="83">
        <f t="shared" si="29"/>
        <v>13238.972812755035</v>
      </c>
      <c r="E87" s="84">
        <f t="shared" si="30"/>
        <v>357.81007602040887</v>
      </c>
      <c r="F87" s="85">
        <f t="shared" si="20"/>
        <v>220.64954687925061</v>
      </c>
      <c r="G87" s="94">
        <f t="shared" si="21"/>
        <v>578.45962289965951</v>
      </c>
      <c r="H87" s="88">
        <f>SUM(F76:F87)</f>
        <v>3041.3856461734567</v>
      </c>
      <c r="I87" s="90"/>
      <c r="J87" s="95" t="s">
        <v>236</v>
      </c>
      <c r="K87" s="83">
        <f t="shared" si="31"/>
        <v>4864.7216333333581</v>
      </c>
      <c r="L87" s="84">
        <f t="shared" si="32"/>
        <v>99.280033333333321</v>
      </c>
      <c r="M87" s="85">
        <f t="shared" si="22"/>
        <v>81.078693888889305</v>
      </c>
      <c r="N87" s="94">
        <f t="shared" si="19"/>
        <v>180.35872722222263</v>
      </c>
      <c r="O87" s="88">
        <f>SUM(M76:M87)</f>
        <v>1082.1523633333386</v>
      </c>
      <c r="R87" s="90"/>
      <c r="S87" s="95" t="s">
        <v>236</v>
      </c>
      <c r="T87" s="83">
        <f t="shared" si="33"/>
        <v>4783.5383277777928</v>
      </c>
      <c r="U87" s="84">
        <f t="shared" si="34"/>
        <v>78.418661111111106</v>
      </c>
      <c r="V87" s="85">
        <f t="shared" si="23"/>
        <v>79.72563879629655</v>
      </c>
      <c r="W87" s="94">
        <f t="shared" si="24"/>
        <v>158.14429990740766</v>
      </c>
      <c r="X87" s="88">
        <f>SUM(V76:V87)</f>
        <v>1042.9681927777804</v>
      </c>
      <c r="Y87" s="90"/>
      <c r="Z87" s="95" t="s">
        <v>236</v>
      </c>
      <c r="AA87" s="83">
        <f t="shared" si="25"/>
        <v>22887.232773866184</v>
      </c>
      <c r="AB87" s="83">
        <f t="shared" si="26"/>
        <v>535.50877046485334</v>
      </c>
      <c r="AC87" s="83">
        <f t="shared" si="27"/>
        <v>381.45387956443648</v>
      </c>
      <c r="AD87" s="83">
        <f t="shared" si="28"/>
        <v>916.96265002928976</v>
      </c>
      <c r="AE87" s="88">
        <f>SUM(AC76:AC87)</f>
        <v>5166.5062022845768</v>
      </c>
      <c r="AF87" s="88">
        <f t="shared" si="35"/>
        <v>5166.5062022845759</v>
      </c>
    </row>
    <row r="88" spans="2:32" x14ac:dyDescent="0.25">
      <c r="B88">
        <f>B76+1</f>
        <v>2032</v>
      </c>
      <c r="C88" s="93" t="s">
        <v>225</v>
      </c>
      <c r="D88" s="83">
        <f t="shared" si="29"/>
        <v>12881.162736734626</v>
      </c>
      <c r="E88" s="84">
        <f t="shared" si="30"/>
        <v>357.81007602040887</v>
      </c>
      <c r="F88" s="85">
        <f t="shared" si="20"/>
        <v>214.68604561224379</v>
      </c>
      <c r="G88" s="94">
        <f t="shared" si="21"/>
        <v>572.4961216326526</v>
      </c>
      <c r="I88">
        <f>I76+1</f>
        <v>2032</v>
      </c>
      <c r="J88" s="93" t="s">
        <v>225</v>
      </c>
      <c r="K88" s="83">
        <f t="shared" si="31"/>
        <v>4765.4416000000247</v>
      </c>
      <c r="L88" s="84">
        <f t="shared" si="32"/>
        <v>99.280033333333321</v>
      </c>
      <c r="M88" s="85">
        <f t="shared" si="22"/>
        <v>79.424026666667075</v>
      </c>
      <c r="N88" s="94">
        <f t="shared" si="19"/>
        <v>178.7040600000004</v>
      </c>
      <c r="R88">
        <f>R76+1</f>
        <v>2032</v>
      </c>
      <c r="S88" s="93" t="s">
        <v>225</v>
      </c>
      <c r="T88" s="83">
        <f t="shared" si="33"/>
        <v>4705.119666666682</v>
      </c>
      <c r="U88" s="84">
        <f t="shared" si="34"/>
        <v>78.418661111111106</v>
      </c>
      <c r="V88" s="85">
        <f t="shared" si="23"/>
        <v>78.418661111111376</v>
      </c>
      <c r="W88" s="94">
        <f t="shared" si="24"/>
        <v>156.8373222222225</v>
      </c>
      <c r="Y88" s="90">
        <v>2034</v>
      </c>
      <c r="Z88" s="93" t="s">
        <v>225</v>
      </c>
      <c r="AA88" s="83">
        <f t="shared" si="25"/>
        <v>22351.72400340133</v>
      </c>
      <c r="AB88" s="83">
        <f t="shared" si="26"/>
        <v>535.50877046485334</v>
      </c>
      <c r="AC88" s="83">
        <f t="shared" si="27"/>
        <v>372.52873339002224</v>
      </c>
      <c r="AD88" s="83">
        <f t="shared" si="28"/>
        <v>908.03750385487547</v>
      </c>
      <c r="AF88" s="88">
        <f t="shared" si="35"/>
        <v>0</v>
      </c>
    </row>
    <row r="89" spans="2:32" x14ac:dyDescent="0.25">
      <c r="C89" s="87" t="s">
        <v>226</v>
      </c>
      <c r="D89" s="83">
        <f t="shared" si="29"/>
        <v>12523.352660714218</v>
      </c>
      <c r="E89" s="84">
        <f t="shared" si="30"/>
        <v>357.81007602040887</v>
      </c>
      <c r="F89" s="85">
        <f t="shared" si="20"/>
        <v>208.72254434523697</v>
      </c>
      <c r="G89" s="83">
        <f t="shared" si="21"/>
        <v>566.53262036564581</v>
      </c>
      <c r="J89" s="87" t="s">
        <v>226</v>
      </c>
      <c r="K89" s="83">
        <f t="shared" si="31"/>
        <v>4666.1615666666912</v>
      </c>
      <c r="L89" s="84">
        <f t="shared" si="32"/>
        <v>99.280033333333321</v>
      </c>
      <c r="M89" s="85">
        <f t="shared" si="22"/>
        <v>77.769359444444859</v>
      </c>
      <c r="N89" s="83">
        <f t="shared" si="19"/>
        <v>177.04939277777817</v>
      </c>
      <c r="S89" s="87" t="s">
        <v>226</v>
      </c>
      <c r="T89" s="83">
        <f t="shared" si="33"/>
        <v>4626.7010055555711</v>
      </c>
      <c r="U89" s="84">
        <f t="shared" si="34"/>
        <v>78.418661111111106</v>
      </c>
      <c r="V89" s="85">
        <f t="shared" si="23"/>
        <v>77.111683425926188</v>
      </c>
      <c r="W89" s="83">
        <f t="shared" si="24"/>
        <v>155.53034453703731</v>
      </c>
      <c r="Z89" s="87" t="s">
        <v>226</v>
      </c>
      <c r="AA89" s="83">
        <f t="shared" si="25"/>
        <v>21816.215232936484</v>
      </c>
      <c r="AB89" s="83">
        <f t="shared" si="26"/>
        <v>535.50877046485334</v>
      </c>
      <c r="AC89" s="83">
        <f t="shared" si="27"/>
        <v>363.603587215608</v>
      </c>
      <c r="AD89" s="83">
        <f t="shared" si="28"/>
        <v>899.11235768046129</v>
      </c>
      <c r="AF89" s="88">
        <f t="shared" si="35"/>
        <v>0</v>
      </c>
    </row>
    <row r="90" spans="2:32" x14ac:dyDescent="0.25">
      <c r="C90" s="87" t="s">
        <v>227</v>
      </c>
      <c r="D90" s="83">
        <f t="shared" si="29"/>
        <v>12165.542584693809</v>
      </c>
      <c r="E90" s="84">
        <f t="shared" si="30"/>
        <v>357.81007602040887</v>
      </c>
      <c r="F90" s="85">
        <f t="shared" si="20"/>
        <v>202.75904307823018</v>
      </c>
      <c r="G90" s="83">
        <f t="shared" si="21"/>
        <v>560.56911909863902</v>
      </c>
      <c r="J90" s="87" t="s">
        <v>227</v>
      </c>
      <c r="K90" s="83">
        <f t="shared" si="31"/>
        <v>4566.8815333333578</v>
      </c>
      <c r="L90" s="84">
        <f t="shared" si="32"/>
        <v>99.280033333333321</v>
      </c>
      <c r="M90" s="85">
        <f t="shared" si="22"/>
        <v>76.114692222222629</v>
      </c>
      <c r="N90" s="83">
        <f t="shared" si="19"/>
        <v>175.39472555555597</v>
      </c>
      <c r="S90" s="87" t="s">
        <v>227</v>
      </c>
      <c r="T90" s="83">
        <f t="shared" si="33"/>
        <v>4548.2823444444603</v>
      </c>
      <c r="U90" s="84">
        <f t="shared" si="34"/>
        <v>78.418661111111106</v>
      </c>
      <c r="V90" s="85">
        <f t="shared" si="23"/>
        <v>75.804705740740999</v>
      </c>
      <c r="W90" s="83">
        <f t="shared" si="24"/>
        <v>154.22336685185212</v>
      </c>
      <c r="Z90" s="87" t="s">
        <v>227</v>
      </c>
      <c r="AA90" s="83">
        <f t="shared" si="25"/>
        <v>21280.706462471629</v>
      </c>
      <c r="AB90" s="83">
        <f t="shared" si="26"/>
        <v>535.50877046485334</v>
      </c>
      <c r="AC90" s="83">
        <f t="shared" si="27"/>
        <v>354.67844104119382</v>
      </c>
      <c r="AD90" s="83">
        <f t="shared" si="28"/>
        <v>890.18721150604711</v>
      </c>
      <c r="AF90" s="88">
        <f t="shared" si="35"/>
        <v>0</v>
      </c>
    </row>
    <row r="91" spans="2:32" x14ac:dyDescent="0.25">
      <c r="C91" s="87" t="s">
        <v>228</v>
      </c>
      <c r="D91" s="83">
        <f t="shared" si="29"/>
        <v>11807.7325086734</v>
      </c>
      <c r="E91" s="84">
        <f t="shared" si="30"/>
        <v>357.81007602040887</v>
      </c>
      <c r="F91" s="85">
        <f t="shared" si="20"/>
        <v>196.79554181122333</v>
      </c>
      <c r="G91" s="83">
        <f t="shared" si="21"/>
        <v>554.60561783163223</v>
      </c>
      <c r="J91" s="87" t="s">
        <v>228</v>
      </c>
      <c r="K91" s="83">
        <f t="shared" si="31"/>
        <v>4467.6015000000243</v>
      </c>
      <c r="L91" s="84">
        <f t="shared" si="32"/>
        <v>99.280033333333321</v>
      </c>
      <c r="M91" s="85">
        <f t="shared" si="22"/>
        <v>74.460025000000414</v>
      </c>
      <c r="N91" s="83">
        <f t="shared" si="19"/>
        <v>173.74005833333374</v>
      </c>
      <c r="S91" s="87" t="s">
        <v>228</v>
      </c>
      <c r="T91" s="83">
        <f t="shared" si="33"/>
        <v>4469.8636833333494</v>
      </c>
      <c r="U91" s="84">
        <f t="shared" si="34"/>
        <v>78.418661111111106</v>
      </c>
      <c r="V91" s="85">
        <f t="shared" si="23"/>
        <v>74.497728055555825</v>
      </c>
      <c r="W91" s="83">
        <f t="shared" si="24"/>
        <v>152.91638916666693</v>
      </c>
      <c r="Z91" s="87" t="s">
        <v>228</v>
      </c>
      <c r="AA91" s="83">
        <f t="shared" si="25"/>
        <v>20745.197692006775</v>
      </c>
      <c r="AB91" s="83">
        <f t="shared" si="26"/>
        <v>535.50877046485334</v>
      </c>
      <c r="AC91" s="83">
        <f t="shared" si="27"/>
        <v>345.75329486677958</v>
      </c>
      <c r="AD91" s="83">
        <f t="shared" si="28"/>
        <v>881.26206533163293</v>
      </c>
      <c r="AF91" s="88">
        <f t="shared" si="35"/>
        <v>0</v>
      </c>
    </row>
    <row r="92" spans="2:32" x14ac:dyDescent="0.25">
      <c r="C92" s="87" t="s">
        <v>229</v>
      </c>
      <c r="D92" s="83">
        <f t="shared" si="29"/>
        <v>11449.922432652991</v>
      </c>
      <c r="E92" s="84">
        <f t="shared" si="30"/>
        <v>357.81007602040887</v>
      </c>
      <c r="F92" s="85">
        <f t="shared" si="20"/>
        <v>190.83204054421651</v>
      </c>
      <c r="G92" s="83">
        <f t="shared" si="21"/>
        <v>548.64211656462544</v>
      </c>
      <c r="J92" s="87" t="s">
        <v>229</v>
      </c>
      <c r="K92" s="83">
        <f t="shared" si="31"/>
        <v>4368.3214666666909</v>
      </c>
      <c r="L92" s="84">
        <f t="shared" si="32"/>
        <v>99.280033333333321</v>
      </c>
      <c r="M92" s="85">
        <f t="shared" si="22"/>
        <v>72.805357777778184</v>
      </c>
      <c r="N92" s="83">
        <f t="shared" si="19"/>
        <v>172.08539111111151</v>
      </c>
      <c r="S92" s="87" t="s">
        <v>229</v>
      </c>
      <c r="T92" s="83">
        <f t="shared" si="33"/>
        <v>4391.4450222222385</v>
      </c>
      <c r="U92" s="84">
        <f t="shared" si="34"/>
        <v>78.418661111111106</v>
      </c>
      <c r="V92" s="85">
        <f t="shared" si="23"/>
        <v>73.190750370370651</v>
      </c>
      <c r="W92" s="83">
        <f t="shared" si="24"/>
        <v>151.60941148148174</v>
      </c>
      <c r="Z92" s="87" t="s">
        <v>229</v>
      </c>
      <c r="AA92" s="83">
        <f t="shared" si="25"/>
        <v>20209.688921541921</v>
      </c>
      <c r="AB92" s="83">
        <f t="shared" si="26"/>
        <v>535.50877046485334</v>
      </c>
      <c r="AC92" s="83">
        <f t="shared" si="27"/>
        <v>336.82814869236535</v>
      </c>
      <c r="AD92" s="83">
        <f t="shared" si="28"/>
        <v>872.33691915721863</v>
      </c>
      <c r="AF92" s="88">
        <f t="shared" si="35"/>
        <v>0</v>
      </c>
    </row>
    <row r="93" spans="2:32" x14ac:dyDescent="0.25">
      <c r="C93" s="87" t="s">
        <v>230</v>
      </c>
      <c r="D93" s="83">
        <f t="shared" si="29"/>
        <v>11092.112356632582</v>
      </c>
      <c r="E93" s="84">
        <f t="shared" si="30"/>
        <v>357.81007602040887</v>
      </c>
      <c r="F93" s="85">
        <f t="shared" si="20"/>
        <v>184.86853927720972</v>
      </c>
      <c r="G93" s="83">
        <f t="shared" si="21"/>
        <v>542.67861529761853</v>
      </c>
      <c r="J93" s="87" t="s">
        <v>230</v>
      </c>
      <c r="K93" s="83">
        <f t="shared" si="31"/>
        <v>4269.0414333333574</v>
      </c>
      <c r="L93" s="84">
        <f t="shared" si="32"/>
        <v>99.280033333333321</v>
      </c>
      <c r="M93" s="85">
        <f t="shared" si="22"/>
        <v>71.150690555555954</v>
      </c>
      <c r="N93" s="83">
        <f t="shared" si="19"/>
        <v>170.43072388888928</v>
      </c>
      <c r="S93" s="87" t="s">
        <v>230</v>
      </c>
      <c r="T93" s="83">
        <f t="shared" si="33"/>
        <v>4313.0263611111277</v>
      </c>
      <c r="U93" s="84">
        <f t="shared" si="34"/>
        <v>78.418661111111106</v>
      </c>
      <c r="V93" s="85">
        <f t="shared" si="23"/>
        <v>71.883772685185463</v>
      </c>
      <c r="W93" s="83">
        <f t="shared" si="24"/>
        <v>150.30243379629655</v>
      </c>
      <c r="Z93" s="87" t="s">
        <v>230</v>
      </c>
      <c r="AA93" s="83">
        <f t="shared" si="25"/>
        <v>19674.180151077067</v>
      </c>
      <c r="AB93" s="83">
        <f t="shared" si="26"/>
        <v>535.50877046485334</v>
      </c>
      <c r="AC93" s="83">
        <f t="shared" si="27"/>
        <v>327.90300251795117</v>
      </c>
      <c r="AD93" s="83">
        <f t="shared" si="28"/>
        <v>863.41177298280434</v>
      </c>
      <c r="AF93" s="88">
        <f t="shared" si="35"/>
        <v>0</v>
      </c>
    </row>
    <row r="94" spans="2:32" x14ac:dyDescent="0.25">
      <c r="C94" s="87" t="s">
        <v>231</v>
      </c>
      <c r="D94" s="83">
        <f t="shared" si="29"/>
        <v>10734.302280612173</v>
      </c>
      <c r="E94" s="84">
        <f t="shared" si="30"/>
        <v>357.81007602040887</v>
      </c>
      <c r="F94" s="85">
        <f t="shared" si="20"/>
        <v>178.9050380102029</v>
      </c>
      <c r="G94" s="83">
        <f t="shared" si="21"/>
        <v>536.71511403061174</v>
      </c>
      <c r="J94" s="87" t="s">
        <v>231</v>
      </c>
      <c r="K94" s="83">
        <f t="shared" si="31"/>
        <v>4169.761400000024</v>
      </c>
      <c r="L94" s="84">
        <f t="shared" si="32"/>
        <v>99.280033333333321</v>
      </c>
      <c r="M94" s="85">
        <f t="shared" si="22"/>
        <v>69.496023333333738</v>
      </c>
      <c r="N94" s="83">
        <f t="shared" si="19"/>
        <v>168.77605666666705</v>
      </c>
      <c r="S94" s="87" t="s">
        <v>231</v>
      </c>
      <c r="T94" s="83">
        <f t="shared" si="33"/>
        <v>4234.6077000000168</v>
      </c>
      <c r="U94" s="84">
        <f t="shared" si="34"/>
        <v>78.418661111111106</v>
      </c>
      <c r="V94" s="85">
        <f t="shared" si="23"/>
        <v>70.576795000000288</v>
      </c>
      <c r="W94" s="83">
        <f t="shared" si="24"/>
        <v>148.99545611111139</v>
      </c>
      <c r="Z94" s="87" t="s">
        <v>231</v>
      </c>
      <c r="AA94" s="83">
        <f t="shared" si="25"/>
        <v>19138.671380612213</v>
      </c>
      <c r="AB94" s="83">
        <f t="shared" si="26"/>
        <v>535.50877046485334</v>
      </c>
      <c r="AC94" s="83">
        <f t="shared" si="27"/>
        <v>318.97785634353693</v>
      </c>
      <c r="AD94" s="83">
        <f t="shared" si="28"/>
        <v>854.48662680839016</v>
      </c>
      <c r="AF94" s="88">
        <f t="shared" si="35"/>
        <v>0</v>
      </c>
    </row>
    <row r="95" spans="2:32" x14ac:dyDescent="0.25">
      <c r="C95" s="87" t="s">
        <v>232</v>
      </c>
      <c r="D95" s="83">
        <f t="shared" si="29"/>
        <v>10376.492204591765</v>
      </c>
      <c r="E95" s="84">
        <f t="shared" si="30"/>
        <v>357.81007602040887</v>
      </c>
      <c r="F95" s="85">
        <f t="shared" si="20"/>
        <v>172.94153674319611</v>
      </c>
      <c r="G95" s="83">
        <f t="shared" si="21"/>
        <v>530.75161276360495</v>
      </c>
      <c r="J95" s="87" t="s">
        <v>232</v>
      </c>
      <c r="K95" s="83">
        <f t="shared" si="31"/>
        <v>4070.4813666666905</v>
      </c>
      <c r="L95" s="84">
        <f t="shared" si="32"/>
        <v>99.280033333333321</v>
      </c>
      <c r="M95" s="85">
        <f t="shared" si="22"/>
        <v>67.841356111111509</v>
      </c>
      <c r="N95" s="83">
        <f t="shared" si="19"/>
        <v>167.12138944444484</v>
      </c>
      <c r="S95" s="87" t="s">
        <v>232</v>
      </c>
      <c r="T95" s="83">
        <f t="shared" si="33"/>
        <v>4156.189038888906</v>
      </c>
      <c r="U95" s="84">
        <f t="shared" si="34"/>
        <v>78.418661111111106</v>
      </c>
      <c r="V95" s="85">
        <f t="shared" si="23"/>
        <v>69.2698173148151</v>
      </c>
      <c r="W95" s="83">
        <f t="shared" si="24"/>
        <v>147.68847842592621</v>
      </c>
      <c r="Z95" s="87" t="s">
        <v>232</v>
      </c>
      <c r="AA95" s="83">
        <f t="shared" si="25"/>
        <v>18603.162610147359</v>
      </c>
      <c r="AB95" s="83">
        <f t="shared" si="26"/>
        <v>535.50877046485334</v>
      </c>
      <c r="AC95" s="83">
        <f t="shared" si="27"/>
        <v>310.05271016912275</v>
      </c>
      <c r="AD95" s="83">
        <f t="shared" si="28"/>
        <v>845.56148063397598</v>
      </c>
      <c r="AF95" s="88">
        <f t="shared" si="35"/>
        <v>0</v>
      </c>
    </row>
    <row r="96" spans="2:32" x14ac:dyDescent="0.25">
      <c r="C96" s="87" t="s">
        <v>233</v>
      </c>
      <c r="D96" s="83">
        <f t="shared" si="29"/>
        <v>10018.682128571356</v>
      </c>
      <c r="E96" s="84">
        <f t="shared" si="30"/>
        <v>357.81007602040887</v>
      </c>
      <c r="F96" s="85">
        <f t="shared" si="20"/>
        <v>166.97803547618926</v>
      </c>
      <c r="G96" s="83">
        <f t="shared" si="21"/>
        <v>524.78811149659816</v>
      </c>
      <c r="J96" s="87" t="s">
        <v>233</v>
      </c>
      <c r="K96" s="83">
        <f t="shared" si="31"/>
        <v>3971.2013333333571</v>
      </c>
      <c r="L96" s="84">
        <f t="shared" si="32"/>
        <v>99.280033333333321</v>
      </c>
      <c r="M96" s="85">
        <f t="shared" si="22"/>
        <v>66.186688888889293</v>
      </c>
      <c r="N96" s="83">
        <f t="shared" si="19"/>
        <v>165.46672222222261</v>
      </c>
      <c r="S96" s="87" t="s">
        <v>233</v>
      </c>
      <c r="T96" s="83">
        <f t="shared" si="33"/>
        <v>4077.7703777777947</v>
      </c>
      <c r="U96" s="84">
        <f t="shared" si="34"/>
        <v>78.418661111111106</v>
      </c>
      <c r="V96" s="85">
        <f t="shared" si="23"/>
        <v>67.962839629629912</v>
      </c>
      <c r="W96" s="83">
        <f t="shared" si="24"/>
        <v>146.38150074074102</v>
      </c>
      <c r="Z96" s="87" t="s">
        <v>233</v>
      </c>
      <c r="AA96" s="83">
        <f t="shared" si="25"/>
        <v>18067.653839682505</v>
      </c>
      <c r="AB96" s="83">
        <f t="shared" si="26"/>
        <v>535.50877046485334</v>
      </c>
      <c r="AC96" s="83">
        <f t="shared" si="27"/>
        <v>301.12756399470845</v>
      </c>
      <c r="AD96" s="83">
        <f t="shared" si="28"/>
        <v>836.63633445956179</v>
      </c>
      <c r="AF96" s="88">
        <f t="shared" si="35"/>
        <v>0</v>
      </c>
    </row>
    <row r="97" spans="2:32" x14ac:dyDescent="0.25">
      <c r="C97" s="87" t="s">
        <v>234</v>
      </c>
      <c r="D97" s="83">
        <f t="shared" si="29"/>
        <v>9660.872052550947</v>
      </c>
      <c r="E97" s="84">
        <f t="shared" si="30"/>
        <v>357.81007602040887</v>
      </c>
      <c r="F97" s="85">
        <f t="shared" si="20"/>
        <v>161.01453420918247</v>
      </c>
      <c r="G97" s="83">
        <f t="shared" si="21"/>
        <v>518.82461022959137</v>
      </c>
      <c r="J97" s="87" t="s">
        <v>234</v>
      </c>
      <c r="K97" s="83">
        <f t="shared" si="31"/>
        <v>3871.9213000000236</v>
      </c>
      <c r="L97" s="84">
        <f t="shared" si="32"/>
        <v>99.280033333333321</v>
      </c>
      <c r="M97" s="85">
        <f t="shared" si="22"/>
        <v>64.532021666667063</v>
      </c>
      <c r="N97" s="83">
        <f t="shared" si="19"/>
        <v>163.81205500000038</v>
      </c>
      <c r="S97" s="87" t="s">
        <v>234</v>
      </c>
      <c r="T97" s="83">
        <f t="shared" si="33"/>
        <v>3999.3517166666834</v>
      </c>
      <c r="U97" s="84">
        <f t="shared" si="34"/>
        <v>78.418661111111106</v>
      </c>
      <c r="V97" s="85">
        <f t="shared" si="23"/>
        <v>66.655861944444723</v>
      </c>
      <c r="W97" s="83">
        <f t="shared" si="24"/>
        <v>145.07452305555583</v>
      </c>
      <c r="Z97" s="87" t="s">
        <v>234</v>
      </c>
      <c r="AA97" s="83">
        <f t="shared" si="25"/>
        <v>17532.145069217655</v>
      </c>
      <c r="AB97" s="83">
        <f t="shared" si="26"/>
        <v>535.50877046485334</v>
      </c>
      <c r="AC97" s="83">
        <f t="shared" si="27"/>
        <v>292.20241782029427</v>
      </c>
      <c r="AD97" s="83">
        <f t="shared" si="28"/>
        <v>827.7111882851475</v>
      </c>
      <c r="AF97" s="88">
        <f t="shared" si="35"/>
        <v>0</v>
      </c>
    </row>
    <row r="98" spans="2:32" x14ac:dyDescent="0.25">
      <c r="C98" s="87" t="s">
        <v>235</v>
      </c>
      <c r="D98" s="83">
        <f t="shared" si="29"/>
        <v>9303.0619765305382</v>
      </c>
      <c r="E98" s="84">
        <f t="shared" si="30"/>
        <v>357.81007602040887</v>
      </c>
      <c r="F98" s="85">
        <f t="shared" si="20"/>
        <v>155.05103294217565</v>
      </c>
      <c r="G98" s="83">
        <f t="shared" si="21"/>
        <v>512.86110896258447</v>
      </c>
      <c r="J98" s="87" t="s">
        <v>235</v>
      </c>
      <c r="K98" s="83">
        <f t="shared" si="31"/>
        <v>3772.6412666666902</v>
      </c>
      <c r="L98" s="84">
        <f t="shared" si="32"/>
        <v>99.280033333333321</v>
      </c>
      <c r="M98" s="85">
        <f t="shared" si="22"/>
        <v>62.87735444444484</v>
      </c>
      <c r="N98" s="83">
        <f t="shared" si="19"/>
        <v>162.15738777777815</v>
      </c>
      <c r="S98" s="87" t="s">
        <v>235</v>
      </c>
      <c r="T98" s="83">
        <f t="shared" si="33"/>
        <v>3920.9330555555721</v>
      </c>
      <c r="U98" s="84">
        <f t="shared" si="34"/>
        <v>78.418661111111106</v>
      </c>
      <c r="V98" s="85">
        <f t="shared" si="23"/>
        <v>65.348884259259535</v>
      </c>
      <c r="W98" s="83">
        <f t="shared" si="24"/>
        <v>143.76754537037064</v>
      </c>
      <c r="Z98" s="87" t="s">
        <v>235</v>
      </c>
      <c r="AA98" s="83">
        <f t="shared" si="25"/>
        <v>16996.636298752801</v>
      </c>
      <c r="AB98" s="83">
        <f t="shared" si="26"/>
        <v>535.50877046485334</v>
      </c>
      <c r="AC98" s="83">
        <f t="shared" si="27"/>
        <v>283.27727164588003</v>
      </c>
      <c r="AD98" s="83">
        <f t="shared" si="28"/>
        <v>818.78604211073321</v>
      </c>
      <c r="AF98" s="88">
        <f t="shared" si="35"/>
        <v>0</v>
      </c>
    </row>
    <row r="99" spans="2:32" x14ac:dyDescent="0.25">
      <c r="C99" s="87" t="s">
        <v>236</v>
      </c>
      <c r="D99" s="83">
        <f t="shared" si="29"/>
        <v>8945.2519005101294</v>
      </c>
      <c r="E99" s="84">
        <f t="shared" si="30"/>
        <v>357.81007602040887</v>
      </c>
      <c r="F99" s="85">
        <f t="shared" si="20"/>
        <v>149.08753167516883</v>
      </c>
      <c r="G99" s="83">
        <f t="shared" si="21"/>
        <v>506.89760769557768</v>
      </c>
      <c r="H99" s="88">
        <f>SUM(F88:F99)</f>
        <v>2182.6414637244757</v>
      </c>
      <c r="J99" s="87" t="s">
        <v>236</v>
      </c>
      <c r="K99" s="83">
        <f t="shared" si="31"/>
        <v>3673.3612333333567</v>
      </c>
      <c r="L99" s="84">
        <f t="shared" si="32"/>
        <v>99.280033333333321</v>
      </c>
      <c r="M99" s="85">
        <f t="shared" si="22"/>
        <v>61.222687222222618</v>
      </c>
      <c r="N99" s="83">
        <f t="shared" si="19"/>
        <v>160.50272055555592</v>
      </c>
      <c r="O99" s="88">
        <f>SUM(M88:M99)</f>
        <v>843.88028333333818</v>
      </c>
      <c r="S99" s="87" t="s">
        <v>236</v>
      </c>
      <c r="T99" s="83">
        <f t="shared" si="33"/>
        <v>3842.5143944444608</v>
      </c>
      <c r="U99" s="84">
        <f t="shared" si="34"/>
        <v>78.418661111111106</v>
      </c>
      <c r="V99" s="85">
        <f t="shared" si="23"/>
        <v>64.041906574074346</v>
      </c>
      <c r="W99" s="83">
        <f t="shared" si="24"/>
        <v>142.46056768518545</v>
      </c>
      <c r="X99" s="88">
        <f>SUM(V88:V99)</f>
        <v>854.76340611111448</v>
      </c>
      <c r="Z99" s="87" t="s">
        <v>236</v>
      </c>
      <c r="AA99" s="83">
        <f t="shared" si="25"/>
        <v>16461.127528287947</v>
      </c>
      <c r="AB99" s="83">
        <f t="shared" si="26"/>
        <v>535.50877046485334</v>
      </c>
      <c r="AC99" s="83">
        <f t="shared" si="27"/>
        <v>274.3521254714658</v>
      </c>
      <c r="AD99" s="83">
        <f t="shared" si="28"/>
        <v>809.86089593631903</v>
      </c>
      <c r="AE99" s="88">
        <f>SUM(AC88:AC99)</f>
        <v>3881.2851531689284</v>
      </c>
      <c r="AF99" s="88">
        <f t="shared" si="35"/>
        <v>3881.285153168928</v>
      </c>
    </row>
    <row r="100" spans="2:32" x14ac:dyDescent="0.25">
      <c r="B100">
        <f>B88+1</f>
        <v>2033</v>
      </c>
      <c r="C100" s="96" t="s">
        <v>225</v>
      </c>
      <c r="D100" s="83">
        <f>D99-E99</f>
        <v>8587.4418244897206</v>
      </c>
      <c r="E100" s="84">
        <f t="shared" si="30"/>
        <v>357.81007602040887</v>
      </c>
      <c r="F100" s="85">
        <f t="shared" si="20"/>
        <v>143.12403040816201</v>
      </c>
      <c r="G100" s="83">
        <f t="shared" si="21"/>
        <v>500.93410642857089</v>
      </c>
      <c r="I100">
        <f>I88+1</f>
        <v>2033</v>
      </c>
      <c r="J100" s="96" t="s">
        <v>225</v>
      </c>
      <c r="K100" s="83">
        <f>K99-L99</f>
        <v>3574.0812000000233</v>
      </c>
      <c r="L100" s="84">
        <f t="shared" si="32"/>
        <v>99.280033333333321</v>
      </c>
      <c r="M100" s="85">
        <f t="shared" si="22"/>
        <v>59.568020000000388</v>
      </c>
      <c r="N100" s="83">
        <f t="shared" si="19"/>
        <v>158.84805333333372</v>
      </c>
      <c r="R100">
        <f>R88+1</f>
        <v>2033</v>
      </c>
      <c r="S100" s="96" t="s">
        <v>225</v>
      </c>
      <c r="T100" s="83">
        <f>T99-U99</f>
        <v>3764.0957333333495</v>
      </c>
      <c r="U100" s="84">
        <f t="shared" si="34"/>
        <v>78.418661111111106</v>
      </c>
      <c r="V100" s="85">
        <f t="shared" si="23"/>
        <v>62.734928888889158</v>
      </c>
      <c r="W100" s="83">
        <f t="shared" si="24"/>
        <v>141.15359000000026</v>
      </c>
      <c r="Y100">
        <v>2035</v>
      </c>
      <c r="Z100" s="96" t="s">
        <v>225</v>
      </c>
      <c r="AA100" s="83">
        <f t="shared" si="25"/>
        <v>15925.618757823093</v>
      </c>
      <c r="AB100" s="83">
        <f t="shared" si="26"/>
        <v>535.50877046485334</v>
      </c>
      <c r="AC100" s="83">
        <f t="shared" si="27"/>
        <v>265.42697929705156</v>
      </c>
      <c r="AD100" s="83">
        <f t="shared" si="28"/>
        <v>800.93574976190484</v>
      </c>
      <c r="AF100" s="88">
        <f t="shared" si="35"/>
        <v>0</v>
      </c>
    </row>
    <row r="101" spans="2:32" x14ac:dyDescent="0.25">
      <c r="B101" s="92"/>
      <c r="C101" s="97" t="s">
        <v>226</v>
      </c>
      <c r="D101" s="83">
        <f t="shared" ref="D101:D122" si="36">D100-E101</f>
        <v>8229.6317484693118</v>
      </c>
      <c r="E101" s="84">
        <f t="shared" si="30"/>
        <v>357.81007602040887</v>
      </c>
      <c r="F101" s="85">
        <f t="shared" si="20"/>
        <v>137.16052914115519</v>
      </c>
      <c r="G101" s="98">
        <f t="shared" si="21"/>
        <v>494.97060516156409</v>
      </c>
      <c r="I101" s="92"/>
      <c r="J101" s="97" t="s">
        <v>226</v>
      </c>
      <c r="K101" s="83">
        <f t="shared" si="31"/>
        <v>3474.8011666666898</v>
      </c>
      <c r="L101" s="84">
        <f t="shared" si="32"/>
        <v>99.280033333333321</v>
      </c>
      <c r="M101" s="85">
        <f t="shared" si="22"/>
        <v>57.913352777778165</v>
      </c>
      <c r="N101" s="98">
        <f t="shared" si="19"/>
        <v>157.19338611111149</v>
      </c>
      <c r="R101" s="92"/>
      <c r="S101" s="97" t="s">
        <v>226</v>
      </c>
      <c r="T101" s="83">
        <f t="shared" ref="T101:T123" si="37">T100-U101</f>
        <v>3685.6770722222382</v>
      </c>
      <c r="U101" s="84">
        <f t="shared" si="34"/>
        <v>78.418661111111106</v>
      </c>
      <c r="V101" s="85">
        <f t="shared" si="23"/>
        <v>61.427951203703969</v>
      </c>
      <c r="W101" s="98">
        <f t="shared" si="24"/>
        <v>139.84661231481508</v>
      </c>
      <c r="Y101" s="92"/>
      <c r="Z101" s="97" t="s">
        <v>226</v>
      </c>
      <c r="AA101" s="83">
        <f t="shared" si="25"/>
        <v>15390.109987358239</v>
      </c>
      <c r="AB101" s="83">
        <f t="shared" si="26"/>
        <v>535.50877046485334</v>
      </c>
      <c r="AC101" s="83">
        <f t="shared" si="27"/>
        <v>256.50183312263732</v>
      </c>
      <c r="AD101" s="83">
        <f t="shared" si="28"/>
        <v>792.01060358749066</v>
      </c>
      <c r="AF101" s="88">
        <f t="shared" si="35"/>
        <v>0</v>
      </c>
    </row>
    <row r="102" spans="2:32" x14ac:dyDescent="0.25">
      <c r="B102" s="92"/>
      <c r="C102" s="97" t="s">
        <v>227</v>
      </c>
      <c r="D102" s="83">
        <f t="shared" si="36"/>
        <v>7871.821672448903</v>
      </c>
      <c r="E102" s="84">
        <f t="shared" si="30"/>
        <v>357.81007602040887</v>
      </c>
      <c r="F102" s="85">
        <f t="shared" si="20"/>
        <v>131.1970278741484</v>
      </c>
      <c r="G102" s="98">
        <f t="shared" si="21"/>
        <v>489.0071038945573</v>
      </c>
      <c r="I102" s="92"/>
      <c r="J102" s="97" t="s">
        <v>227</v>
      </c>
      <c r="K102" s="83">
        <f t="shared" si="31"/>
        <v>3375.5211333333564</v>
      </c>
      <c r="L102" s="84">
        <f t="shared" si="32"/>
        <v>99.280033333333321</v>
      </c>
      <c r="M102" s="85">
        <f t="shared" si="22"/>
        <v>56.25868555555595</v>
      </c>
      <c r="N102" s="98">
        <f t="shared" si="19"/>
        <v>155.53871888888926</v>
      </c>
      <c r="R102" s="92"/>
      <c r="S102" s="97" t="s">
        <v>227</v>
      </c>
      <c r="T102" s="83">
        <f t="shared" si="37"/>
        <v>3607.2584111111269</v>
      </c>
      <c r="U102" s="84">
        <f t="shared" si="34"/>
        <v>78.418661111111106</v>
      </c>
      <c r="V102" s="85">
        <f t="shared" si="23"/>
        <v>60.120973518518781</v>
      </c>
      <c r="W102" s="98">
        <f t="shared" si="24"/>
        <v>138.53963462962989</v>
      </c>
      <c r="Y102" s="92"/>
      <c r="Z102" s="97" t="s">
        <v>227</v>
      </c>
      <c r="AA102" s="83">
        <f t="shared" si="25"/>
        <v>14854.601216893387</v>
      </c>
      <c r="AB102" s="83">
        <f t="shared" si="26"/>
        <v>535.50877046485334</v>
      </c>
      <c r="AC102" s="83">
        <f t="shared" si="27"/>
        <v>247.57668694822314</v>
      </c>
      <c r="AD102" s="83">
        <f t="shared" si="28"/>
        <v>783.08545741307637</v>
      </c>
      <c r="AF102" s="88">
        <f t="shared" si="35"/>
        <v>0</v>
      </c>
    </row>
    <row r="103" spans="2:32" x14ac:dyDescent="0.25">
      <c r="B103" s="92"/>
      <c r="C103" s="97" t="s">
        <v>228</v>
      </c>
      <c r="D103" s="83">
        <f t="shared" si="36"/>
        <v>7514.0115964284942</v>
      </c>
      <c r="E103" s="84">
        <f t="shared" si="30"/>
        <v>357.81007602040887</v>
      </c>
      <c r="F103" s="85">
        <f t="shared" si="20"/>
        <v>125.23352660714158</v>
      </c>
      <c r="G103" s="98">
        <f t="shared" si="21"/>
        <v>483.04360262755046</v>
      </c>
      <c r="I103" s="92"/>
      <c r="J103" s="97" t="s">
        <v>228</v>
      </c>
      <c r="K103" s="83">
        <f t="shared" si="31"/>
        <v>3276.2411000000229</v>
      </c>
      <c r="L103" s="84">
        <f t="shared" si="32"/>
        <v>99.280033333333321</v>
      </c>
      <c r="M103" s="85">
        <f t="shared" si="22"/>
        <v>54.60401833333372</v>
      </c>
      <c r="N103" s="98">
        <f t="shared" si="19"/>
        <v>153.88405166666703</v>
      </c>
      <c r="R103" s="92"/>
      <c r="S103" s="97" t="s">
        <v>228</v>
      </c>
      <c r="T103" s="83">
        <f t="shared" si="37"/>
        <v>3528.8397500000156</v>
      </c>
      <c r="U103" s="84">
        <f t="shared" si="34"/>
        <v>78.418661111111106</v>
      </c>
      <c r="V103" s="85">
        <f t="shared" si="23"/>
        <v>58.813995833333593</v>
      </c>
      <c r="W103" s="98">
        <f t="shared" si="24"/>
        <v>137.2326569444447</v>
      </c>
      <c r="Y103" s="92"/>
      <c r="Z103" s="97" t="s">
        <v>228</v>
      </c>
      <c r="AA103" s="83">
        <f t="shared" si="25"/>
        <v>14319.092446428533</v>
      </c>
      <c r="AB103" s="83">
        <f t="shared" si="26"/>
        <v>535.50877046485334</v>
      </c>
      <c r="AC103" s="83">
        <f t="shared" si="27"/>
        <v>238.6515407738089</v>
      </c>
      <c r="AD103" s="83">
        <f t="shared" si="28"/>
        <v>774.16031123866219</v>
      </c>
      <c r="AF103" s="88">
        <f t="shared" si="35"/>
        <v>0</v>
      </c>
    </row>
    <row r="104" spans="2:32" x14ac:dyDescent="0.25">
      <c r="B104" s="92"/>
      <c r="C104" s="97" t="s">
        <v>229</v>
      </c>
      <c r="D104" s="83">
        <f t="shared" si="36"/>
        <v>7156.2015204080853</v>
      </c>
      <c r="E104" s="84">
        <f t="shared" si="30"/>
        <v>357.81007602040887</v>
      </c>
      <c r="F104" s="85">
        <f t="shared" si="20"/>
        <v>119.27002534013475</v>
      </c>
      <c r="G104" s="98">
        <f t="shared" si="21"/>
        <v>477.08010136054361</v>
      </c>
      <c r="I104" s="92"/>
      <c r="J104" s="97" t="s">
        <v>229</v>
      </c>
      <c r="K104" s="83">
        <f t="shared" si="31"/>
        <v>3176.9610666666895</v>
      </c>
      <c r="L104" s="84">
        <f t="shared" si="32"/>
        <v>99.280033333333321</v>
      </c>
      <c r="M104" s="85">
        <f t="shared" si="22"/>
        <v>52.949351111111497</v>
      </c>
      <c r="N104" s="98">
        <f t="shared" si="19"/>
        <v>152.2293844444448</v>
      </c>
      <c r="R104" s="92"/>
      <c r="S104" s="97" t="s">
        <v>229</v>
      </c>
      <c r="T104" s="83">
        <f t="shared" si="37"/>
        <v>3450.4210888889043</v>
      </c>
      <c r="U104" s="84">
        <f t="shared" si="34"/>
        <v>78.418661111111106</v>
      </c>
      <c r="V104" s="85">
        <f t="shared" si="23"/>
        <v>57.507018148148404</v>
      </c>
      <c r="W104" s="98">
        <f t="shared" si="24"/>
        <v>135.92567925925951</v>
      </c>
      <c r="Y104" s="92"/>
      <c r="Z104" s="97" t="s">
        <v>229</v>
      </c>
      <c r="AA104" s="83">
        <f t="shared" si="25"/>
        <v>13783.583675963679</v>
      </c>
      <c r="AB104" s="83">
        <f t="shared" si="26"/>
        <v>535.50877046485334</v>
      </c>
      <c r="AC104" s="83">
        <f t="shared" si="27"/>
        <v>229.72639459939467</v>
      </c>
      <c r="AD104" s="83">
        <f t="shared" si="28"/>
        <v>765.23516506424789</v>
      </c>
      <c r="AF104" s="88">
        <f t="shared" si="35"/>
        <v>0</v>
      </c>
    </row>
    <row r="105" spans="2:32" x14ac:dyDescent="0.25">
      <c r="B105" s="92"/>
      <c r="C105" s="97" t="s">
        <v>230</v>
      </c>
      <c r="D105" s="83">
        <f t="shared" si="36"/>
        <v>6798.3914443876765</v>
      </c>
      <c r="E105" s="84">
        <f t="shared" si="30"/>
        <v>357.81007602040887</v>
      </c>
      <c r="F105" s="85">
        <f t="shared" si="20"/>
        <v>113.30652407312795</v>
      </c>
      <c r="G105" s="98">
        <f t="shared" si="21"/>
        <v>471.11660009353682</v>
      </c>
      <c r="I105" s="92"/>
      <c r="J105" s="97" t="s">
        <v>230</v>
      </c>
      <c r="K105" s="83">
        <f t="shared" si="31"/>
        <v>3077.681033333356</v>
      </c>
      <c r="L105" s="84">
        <f t="shared" si="32"/>
        <v>99.280033333333321</v>
      </c>
      <c r="M105" s="85">
        <f t="shared" si="22"/>
        <v>51.294683888889267</v>
      </c>
      <c r="N105" s="98">
        <f t="shared" si="19"/>
        <v>150.5747172222226</v>
      </c>
      <c r="R105" s="92"/>
      <c r="S105" s="97" t="s">
        <v>230</v>
      </c>
      <c r="T105" s="83">
        <f t="shared" si="37"/>
        <v>3372.0024277777929</v>
      </c>
      <c r="U105" s="84">
        <f t="shared" si="34"/>
        <v>78.418661111111106</v>
      </c>
      <c r="V105" s="85">
        <f t="shared" si="23"/>
        <v>56.200040462963216</v>
      </c>
      <c r="W105" s="98">
        <f t="shared" si="24"/>
        <v>134.61870157407432</v>
      </c>
      <c r="Y105" s="92"/>
      <c r="Z105" s="97" t="s">
        <v>230</v>
      </c>
      <c r="AA105" s="83">
        <f t="shared" si="25"/>
        <v>13248.074905498826</v>
      </c>
      <c r="AB105" s="83">
        <f t="shared" si="26"/>
        <v>535.50877046485334</v>
      </c>
      <c r="AC105" s="83">
        <f t="shared" si="27"/>
        <v>220.80124842498043</v>
      </c>
      <c r="AD105" s="83">
        <f t="shared" si="28"/>
        <v>756.31001888983371</v>
      </c>
      <c r="AF105" s="88">
        <f t="shared" si="35"/>
        <v>0</v>
      </c>
    </row>
    <row r="106" spans="2:32" x14ac:dyDescent="0.25">
      <c r="B106" s="92"/>
      <c r="C106" s="97" t="s">
        <v>231</v>
      </c>
      <c r="D106" s="83">
        <f t="shared" si="36"/>
        <v>6440.5813683672677</v>
      </c>
      <c r="E106" s="84">
        <f t="shared" si="30"/>
        <v>357.81007602040887</v>
      </c>
      <c r="F106" s="85">
        <f t="shared" si="20"/>
        <v>107.34302280612114</v>
      </c>
      <c r="G106" s="98">
        <f t="shared" si="21"/>
        <v>465.15309882653003</v>
      </c>
      <c r="I106" s="92"/>
      <c r="J106" s="97" t="s">
        <v>231</v>
      </c>
      <c r="K106" s="83">
        <f t="shared" si="31"/>
        <v>2978.4010000000226</v>
      </c>
      <c r="L106" s="84">
        <f t="shared" si="32"/>
        <v>99.280033333333321</v>
      </c>
      <c r="M106" s="85">
        <f t="shared" si="22"/>
        <v>49.640016666667044</v>
      </c>
      <c r="N106" s="98">
        <f t="shared" si="19"/>
        <v>148.92005000000037</v>
      </c>
      <c r="R106" s="92"/>
      <c r="S106" s="97" t="s">
        <v>231</v>
      </c>
      <c r="T106" s="83">
        <f t="shared" si="37"/>
        <v>3293.5837666666816</v>
      </c>
      <c r="U106" s="84">
        <f t="shared" si="34"/>
        <v>78.418661111111106</v>
      </c>
      <c r="V106" s="85">
        <f t="shared" si="23"/>
        <v>54.893062777778027</v>
      </c>
      <c r="W106" s="98">
        <f t="shared" si="24"/>
        <v>133.31172388888913</v>
      </c>
      <c r="Y106" s="92"/>
      <c r="Z106" s="97" t="s">
        <v>231</v>
      </c>
      <c r="AA106" s="83">
        <f t="shared" si="25"/>
        <v>12712.566135033972</v>
      </c>
      <c r="AB106" s="83">
        <f t="shared" si="26"/>
        <v>535.50877046485334</v>
      </c>
      <c r="AC106" s="83">
        <f t="shared" si="27"/>
        <v>211.87610225056622</v>
      </c>
      <c r="AD106" s="83">
        <f t="shared" si="28"/>
        <v>747.38487271541953</v>
      </c>
      <c r="AF106" s="88">
        <f t="shared" si="35"/>
        <v>0</v>
      </c>
    </row>
    <row r="107" spans="2:32" x14ac:dyDescent="0.25">
      <c r="B107" s="92"/>
      <c r="C107" s="97" t="s">
        <v>232</v>
      </c>
      <c r="D107" s="83">
        <f t="shared" si="36"/>
        <v>6082.7712923468589</v>
      </c>
      <c r="E107" s="84">
        <f t="shared" si="30"/>
        <v>357.81007602040887</v>
      </c>
      <c r="F107" s="85">
        <f t="shared" si="20"/>
        <v>101.37952153911432</v>
      </c>
      <c r="G107" s="98">
        <f t="shared" si="21"/>
        <v>459.18959755952318</v>
      </c>
      <c r="I107" s="92"/>
      <c r="J107" s="97" t="s">
        <v>232</v>
      </c>
      <c r="K107" s="83">
        <f t="shared" si="31"/>
        <v>2879.1209666666891</v>
      </c>
      <c r="L107" s="84">
        <f t="shared" si="32"/>
        <v>99.280033333333321</v>
      </c>
      <c r="M107" s="85">
        <f t="shared" si="22"/>
        <v>47.985349444444815</v>
      </c>
      <c r="N107" s="98">
        <f t="shared" si="19"/>
        <v>147.26538277777814</v>
      </c>
      <c r="R107" s="92"/>
      <c r="S107" s="97" t="s">
        <v>232</v>
      </c>
      <c r="T107" s="83">
        <f t="shared" si="37"/>
        <v>3215.1651055555703</v>
      </c>
      <c r="U107" s="84">
        <f t="shared" si="34"/>
        <v>78.418661111111106</v>
      </c>
      <c r="V107" s="85">
        <f t="shared" si="23"/>
        <v>53.586085092592839</v>
      </c>
      <c r="W107" s="98">
        <f t="shared" si="24"/>
        <v>132.00474620370395</v>
      </c>
      <c r="Y107" s="92"/>
      <c r="Z107" s="97" t="s">
        <v>232</v>
      </c>
      <c r="AA107" s="83">
        <f t="shared" si="25"/>
        <v>12177.057364569118</v>
      </c>
      <c r="AB107" s="83">
        <f t="shared" si="26"/>
        <v>535.50877046485334</v>
      </c>
      <c r="AC107" s="83">
        <f t="shared" si="27"/>
        <v>202.95095607615198</v>
      </c>
      <c r="AD107" s="83">
        <f t="shared" si="28"/>
        <v>738.45972654100524</v>
      </c>
      <c r="AF107" s="88">
        <f t="shared" si="35"/>
        <v>0</v>
      </c>
    </row>
    <row r="108" spans="2:32" x14ac:dyDescent="0.25">
      <c r="B108" s="92"/>
      <c r="C108" s="97" t="s">
        <v>233</v>
      </c>
      <c r="D108" s="83">
        <f t="shared" si="36"/>
        <v>5724.9612163264501</v>
      </c>
      <c r="E108" s="84">
        <f t="shared" si="30"/>
        <v>357.81007602040887</v>
      </c>
      <c r="F108" s="85">
        <f t="shared" si="20"/>
        <v>95.416020272107502</v>
      </c>
      <c r="G108" s="98">
        <f t="shared" si="21"/>
        <v>453.22609629251639</v>
      </c>
      <c r="I108" s="92"/>
      <c r="J108" s="97" t="s">
        <v>233</v>
      </c>
      <c r="K108" s="83">
        <f t="shared" si="31"/>
        <v>2779.8409333333557</v>
      </c>
      <c r="L108" s="84">
        <f t="shared" si="32"/>
        <v>99.280033333333321</v>
      </c>
      <c r="M108" s="85">
        <f t="shared" si="22"/>
        <v>46.330682222222599</v>
      </c>
      <c r="N108" s="98">
        <f t="shared" si="19"/>
        <v>145.61071555555591</v>
      </c>
      <c r="R108" s="92"/>
      <c r="S108" s="97" t="s">
        <v>233</v>
      </c>
      <c r="T108" s="83">
        <f t="shared" si="37"/>
        <v>3136.746444444459</v>
      </c>
      <c r="U108" s="84">
        <f t="shared" si="34"/>
        <v>78.418661111111106</v>
      </c>
      <c r="V108" s="85">
        <f t="shared" si="23"/>
        <v>52.27910740740765</v>
      </c>
      <c r="W108" s="98">
        <f t="shared" si="24"/>
        <v>130.69776851851876</v>
      </c>
      <c r="Y108" s="92"/>
      <c r="Z108" s="97" t="s">
        <v>233</v>
      </c>
      <c r="AA108" s="83">
        <f t="shared" si="25"/>
        <v>11641.548594104264</v>
      </c>
      <c r="AB108" s="83">
        <f t="shared" si="26"/>
        <v>535.50877046485334</v>
      </c>
      <c r="AC108" s="83">
        <f t="shared" si="27"/>
        <v>194.02580990173774</v>
      </c>
      <c r="AD108" s="83">
        <f t="shared" si="28"/>
        <v>729.53458036659106</v>
      </c>
      <c r="AF108" s="88">
        <f t="shared" si="35"/>
        <v>0</v>
      </c>
    </row>
    <row r="109" spans="2:32" x14ac:dyDescent="0.25">
      <c r="B109" s="92"/>
      <c r="C109" s="97" t="s">
        <v>234</v>
      </c>
      <c r="D109" s="83">
        <f t="shared" si="36"/>
        <v>5367.1511403060413</v>
      </c>
      <c r="E109" s="84">
        <f t="shared" si="30"/>
        <v>357.81007602040887</v>
      </c>
      <c r="F109" s="85">
        <f t="shared" si="20"/>
        <v>89.452519005100683</v>
      </c>
      <c r="G109" s="98">
        <f t="shared" si="21"/>
        <v>447.26259502550954</v>
      </c>
      <c r="I109" s="92"/>
      <c r="J109" s="97" t="s">
        <v>234</v>
      </c>
      <c r="K109" s="83">
        <f t="shared" si="31"/>
        <v>2680.5609000000222</v>
      </c>
      <c r="L109" s="84">
        <f t="shared" si="32"/>
        <v>99.280033333333321</v>
      </c>
      <c r="M109" s="85">
        <f t="shared" si="22"/>
        <v>44.676015000000376</v>
      </c>
      <c r="N109" s="98">
        <f t="shared" si="19"/>
        <v>143.95604833333368</v>
      </c>
      <c r="R109" s="92"/>
      <c r="S109" s="97" t="s">
        <v>234</v>
      </c>
      <c r="T109" s="83">
        <f t="shared" si="37"/>
        <v>3058.3277833333477</v>
      </c>
      <c r="U109" s="84">
        <f t="shared" si="34"/>
        <v>78.418661111111106</v>
      </c>
      <c r="V109" s="85">
        <f t="shared" si="23"/>
        <v>50.972129722222462</v>
      </c>
      <c r="W109" s="98">
        <f t="shared" si="24"/>
        <v>129.39079083333357</v>
      </c>
      <c r="Y109" s="92"/>
      <c r="Z109" s="97" t="s">
        <v>234</v>
      </c>
      <c r="AA109" s="83">
        <f t="shared" si="25"/>
        <v>11106.03982363941</v>
      </c>
      <c r="AB109" s="83">
        <f t="shared" si="26"/>
        <v>535.50877046485334</v>
      </c>
      <c r="AC109" s="83">
        <f t="shared" si="27"/>
        <v>185.10066372732354</v>
      </c>
      <c r="AD109" s="83">
        <f t="shared" si="28"/>
        <v>720.60943419217676</v>
      </c>
      <c r="AF109" s="88">
        <f t="shared" si="35"/>
        <v>0</v>
      </c>
    </row>
    <row r="110" spans="2:32" x14ac:dyDescent="0.25">
      <c r="B110" s="92"/>
      <c r="C110" s="97" t="s">
        <v>235</v>
      </c>
      <c r="D110" s="83">
        <f t="shared" si="36"/>
        <v>5009.3410642856325</v>
      </c>
      <c r="E110" s="84">
        <f t="shared" si="30"/>
        <v>357.81007602040887</v>
      </c>
      <c r="F110" s="85">
        <f t="shared" si="20"/>
        <v>83.489017738093878</v>
      </c>
      <c r="G110" s="98">
        <f t="shared" si="21"/>
        <v>441.29909375850275</v>
      </c>
      <c r="I110" s="92"/>
      <c r="J110" s="97" t="s">
        <v>235</v>
      </c>
      <c r="K110" s="83">
        <f t="shared" si="31"/>
        <v>2581.2808666666888</v>
      </c>
      <c r="L110" s="84">
        <f t="shared" si="32"/>
        <v>99.280033333333321</v>
      </c>
      <c r="M110" s="85">
        <f t="shared" si="22"/>
        <v>43.021347777778146</v>
      </c>
      <c r="N110" s="98">
        <f t="shared" si="19"/>
        <v>142.30138111111148</v>
      </c>
      <c r="R110" s="92"/>
      <c r="S110" s="97" t="s">
        <v>235</v>
      </c>
      <c r="T110" s="83">
        <f t="shared" si="37"/>
        <v>2979.9091222222364</v>
      </c>
      <c r="U110" s="84">
        <f t="shared" si="34"/>
        <v>78.418661111111106</v>
      </c>
      <c r="V110" s="85">
        <f t="shared" si="23"/>
        <v>49.665152037037274</v>
      </c>
      <c r="W110" s="98">
        <f t="shared" si="24"/>
        <v>128.08381314814838</v>
      </c>
      <c r="Y110" s="92"/>
      <c r="Z110" s="97" t="s">
        <v>235</v>
      </c>
      <c r="AA110" s="83">
        <f t="shared" si="25"/>
        <v>10570.531053174558</v>
      </c>
      <c r="AB110" s="83">
        <f t="shared" si="26"/>
        <v>535.50877046485334</v>
      </c>
      <c r="AC110" s="83">
        <f t="shared" si="27"/>
        <v>176.1755175529093</v>
      </c>
      <c r="AD110" s="83">
        <f t="shared" si="28"/>
        <v>711.68428801776258</v>
      </c>
      <c r="AF110" s="88">
        <f t="shared" si="35"/>
        <v>0</v>
      </c>
    </row>
    <row r="111" spans="2:32" x14ac:dyDescent="0.25">
      <c r="B111" s="92"/>
      <c r="C111" s="97" t="s">
        <v>236</v>
      </c>
      <c r="D111" s="83">
        <f t="shared" si="36"/>
        <v>4651.5309882652236</v>
      </c>
      <c r="E111" s="84">
        <f t="shared" si="30"/>
        <v>357.81007602040887</v>
      </c>
      <c r="F111" s="85">
        <f t="shared" si="20"/>
        <v>77.525516471087073</v>
      </c>
      <c r="G111" s="98">
        <f t="shared" si="21"/>
        <v>435.33559249149596</v>
      </c>
      <c r="H111" s="88">
        <f>SUM(F100:F111)</f>
        <v>1323.8972812754944</v>
      </c>
      <c r="I111" s="92"/>
      <c r="J111" s="97" t="s">
        <v>236</v>
      </c>
      <c r="K111" s="83">
        <f t="shared" si="31"/>
        <v>2482.0008333333553</v>
      </c>
      <c r="L111" s="84">
        <f t="shared" si="32"/>
        <v>99.280033333333321</v>
      </c>
      <c r="M111" s="85">
        <f t="shared" si="22"/>
        <v>41.366680555555924</v>
      </c>
      <c r="N111" s="98">
        <f t="shared" si="19"/>
        <v>140.64671388888925</v>
      </c>
      <c r="O111" s="88">
        <f>SUM(M100:M111)</f>
        <v>605.60820333333788</v>
      </c>
      <c r="R111" s="92"/>
      <c r="S111" s="97" t="s">
        <v>236</v>
      </c>
      <c r="T111" s="83">
        <f t="shared" si="37"/>
        <v>2901.4904611111251</v>
      </c>
      <c r="U111" s="84">
        <f t="shared" si="34"/>
        <v>78.418661111111106</v>
      </c>
      <c r="V111" s="85">
        <f t="shared" si="23"/>
        <v>48.358174351852085</v>
      </c>
      <c r="W111" s="98">
        <f t="shared" si="24"/>
        <v>126.77683546296319</v>
      </c>
      <c r="X111" s="88">
        <f>SUM(V100:V111)</f>
        <v>666.55861944444746</v>
      </c>
      <c r="Y111" s="92"/>
      <c r="Z111" s="97" t="s">
        <v>236</v>
      </c>
      <c r="AA111" s="83">
        <f t="shared" si="25"/>
        <v>10035.022282709704</v>
      </c>
      <c r="AB111" s="83">
        <f t="shared" si="26"/>
        <v>535.50877046485334</v>
      </c>
      <c r="AC111" s="83">
        <f t="shared" si="27"/>
        <v>167.25037137849509</v>
      </c>
      <c r="AD111" s="83">
        <f t="shared" si="28"/>
        <v>702.7591418433484</v>
      </c>
      <c r="AE111" s="88">
        <f>SUM(AC100:AC111)</f>
        <v>2596.0641040532796</v>
      </c>
      <c r="AF111" s="88">
        <f t="shared" si="35"/>
        <v>2596.0641040532801</v>
      </c>
    </row>
    <row r="112" spans="2:32" x14ac:dyDescent="0.25">
      <c r="B112">
        <f>B100+1</f>
        <v>2034</v>
      </c>
      <c r="C112" s="96" t="s">
        <v>225</v>
      </c>
      <c r="D112" s="83">
        <f t="shared" si="36"/>
        <v>4293.7209122448148</v>
      </c>
      <c r="E112" s="84">
        <f t="shared" si="30"/>
        <v>357.81007602040887</v>
      </c>
      <c r="F112" s="85">
        <f t="shared" si="20"/>
        <v>71.562015204080254</v>
      </c>
      <c r="G112" s="98">
        <f t="shared" si="21"/>
        <v>429.37209122448911</v>
      </c>
      <c r="I112">
        <f>I100+1</f>
        <v>2034</v>
      </c>
      <c r="J112" s="96" t="s">
        <v>225</v>
      </c>
      <c r="K112" s="83">
        <f t="shared" si="31"/>
        <v>2382.7208000000219</v>
      </c>
      <c r="L112" s="84">
        <f t="shared" si="32"/>
        <v>99.280033333333321</v>
      </c>
      <c r="M112" s="85">
        <f t="shared" si="22"/>
        <v>39.712013333333701</v>
      </c>
      <c r="N112" s="98">
        <f t="shared" si="19"/>
        <v>138.99204666666702</v>
      </c>
      <c r="R112">
        <f>R100+1</f>
        <v>2034</v>
      </c>
      <c r="S112" s="96" t="s">
        <v>225</v>
      </c>
      <c r="T112" s="83">
        <f t="shared" si="37"/>
        <v>2823.0718000000138</v>
      </c>
      <c r="U112" s="84">
        <f t="shared" si="34"/>
        <v>78.418661111111106</v>
      </c>
      <c r="V112" s="85">
        <f t="shared" si="23"/>
        <v>47.051196666666897</v>
      </c>
      <c r="W112" s="98">
        <f t="shared" si="24"/>
        <v>125.469857777778</v>
      </c>
      <c r="Y112" s="92">
        <v>2036</v>
      </c>
      <c r="Z112" s="96" t="s">
        <v>225</v>
      </c>
      <c r="AA112" s="83">
        <f t="shared" si="25"/>
        <v>9499.5135122448501</v>
      </c>
      <c r="AB112" s="83">
        <f t="shared" si="26"/>
        <v>535.50877046485334</v>
      </c>
      <c r="AC112" s="83">
        <f t="shared" si="27"/>
        <v>158.32522520408085</v>
      </c>
      <c r="AD112" s="83">
        <f t="shared" si="28"/>
        <v>693.83399566893411</v>
      </c>
      <c r="AF112" s="88">
        <f t="shared" si="35"/>
        <v>0</v>
      </c>
    </row>
    <row r="113" spans="2:32" x14ac:dyDescent="0.25">
      <c r="B113" s="92"/>
      <c r="C113" s="97" t="s">
        <v>226</v>
      </c>
      <c r="D113" s="83">
        <f t="shared" si="36"/>
        <v>3935.910836224406</v>
      </c>
      <c r="E113" s="84">
        <f t="shared" si="30"/>
        <v>357.81007602040887</v>
      </c>
      <c r="F113" s="85">
        <f t="shared" si="20"/>
        <v>65.598513937073434</v>
      </c>
      <c r="G113" s="98">
        <f t="shared" si="21"/>
        <v>423.40858995748232</v>
      </c>
      <c r="I113" s="92"/>
      <c r="J113" s="97" t="s">
        <v>226</v>
      </c>
      <c r="K113" s="83">
        <f t="shared" si="31"/>
        <v>2283.4407666666884</v>
      </c>
      <c r="L113" s="84">
        <f t="shared" si="32"/>
        <v>99.280033333333321</v>
      </c>
      <c r="M113" s="85">
        <f t="shared" si="22"/>
        <v>38.057346111111478</v>
      </c>
      <c r="N113" s="98">
        <f t="shared" si="19"/>
        <v>137.33737944444479</v>
      </c>
      <c r="R113" s="92"/>
      <c r="S113" s="97" t="s">
        <v>226</v>
      </c>
      <c r="T113" s="83">
        <f t="shared" si="37"/>
        <v>2744.6531388889025</v>
      </c>
      <c r="U113" s="84">
        <f t="shared" si="34"/>
        <v>78.418661111111106</v>
      </c>
      <c r="V113" s="85">
        <f t="shared" si="23"/>
        <v>45.744218981481708</v>
      </c>
      <c r="W113" s="98">
        <f t="shared" si="24"/>
        <v>124.16288009259281</v>
      </c>
      <c r="Y113" s="92"/>
      <c r="Z113" s="97" t="s">
        <v>226</v>
      </c>
      <c r="AA113" s="83">
        <f t="shared" si="25"/>
        <v>8964.0047417799979</v>
      </c>
      <c r="AB113" s="83">
        <f t="shared" si="26"/>
        <v>535.50877046485334</v>
      </c>
      <c r="AC113" s="83">
        <f t="shared" si="27"/>
        <v>149.40007902966661</v>
      </c>
      <c r="AD113" s="83">
        <f t="shared" si="28"/>
        <v>684.90884949451993</v>
      </c>
      <c r="AF113" s="88">
        <f t="shared" si="35"/>
        <v>0</v>
      </c>
    </row>
    <row r="114" spans="2:32" x14ac:dyDescent="0.25">
      <c r="C114" s="97" t="s">
        <v>227</v>
      </c>
      <c r="D114" s="83">
        <f t="shared" si="36"/>
        <v>3578.1007602039972</v>
      </c>
      <c r="E114" s="84">
        <f t="shared" si="30"/>
        <v>357.81007602040887</v>
      </c>
      <c r="F114" s="85">
        <f t="shared" si="20"/>
        <v>59.635012670066622</v>
      </c>
      <c r="G114" s="98">
        <f t="shared" si="21"/>
        <v>417.44508869047547</v>
      </c>
      <c r="J114" s="97" t="s">
        <v>227</v>
      </c>
      <c r="K114" s="83">
        <f t="shared" si="31"/>
        <v>2184.160733333355</v>
      </c>
      <c r="L114" s="84">
        <f t="shared" si="32"/>
        <v>99.280033333333321</v>
      </c>
      <c r="M114" s="85">
        <f t="shared" si="22"/>
        <v>36.402678888889248</v>
      </c>
      <c r="N114" s="98">
        <f t="shared" si="19"/>
        <v>135.68271222222256</v>
      </c>
      <c r="S114" s="97" t="s">
        <v>227</v>
      </c>
      <c r="T114" s="83">
        <f t="shared" si="37"/>
        <v>2666.2344777777912</v>
      </c>
      <c r="U114" s="84">
        <f t="shared" si="34"/>
        <v>78.418661111111106</v>
      </c>
      <c r="V114" s="85">
        <f t="shared" si="23"/>
        <v>44.43724129629652</v>
      </c>
      <c r="W114" s="98">
        <f t="shared" si="24"/>
        <v>122.85590240740763</v>
      </c>
      <c r="Z114" s="97" t="s">
        <v>227</v>
      </c>
      <c r="AA114" s="83">
        <f t="shared" si="25"/>
        <v>8428.4959713151438</v>
      </c>
      <c r="AB114" s="83">
        <f t="shared" si="26"/>
        <v>535.50877046485334</v>
      </c>
      <c r="AC114" s="83">
        <f t="shared" si="27"/>
        <v>140.4749328552524</v>
      </c>
      <c r="AD114" s="83">
        <f t="shared" si="28"/>
        <v>675.98370332010563</v>
      </c>
      <c r="AF114" s="88">
        <f t="shared" si="35"/>
        <v>0</v>
      </c>
    </row>
    <row r="115" spans="2:32" x14ac:dyDescent="0.25">
      <c r="C115" s="97" t="s">
        <v>228</v>
      </c>
      <c r="D115" s="83">
        <f t="shared" si="36"/>
        <v>3220.2906841835884</v>
      </c>
      <c r="E115" s="84">
        <f t="shared" si="30"/>
        <v>357.81007602040887</v>
      </c>
      <c r="F115" s="85">
        <f t="shared" si="20"/>
        <v>53.67151140305981</v>
      </c>
      <c r="G115" s="98">
        <f t="shared" si="21"/>
        <v>411.48158742346868</v>
      </c>
      <c r="J115" s="97" t="s">
        <v>228</v>
      </c>
      <c r="K115" s="83">
        <f t="shared" si="31"/>
        <v>2084.8807000000215</v>
      </c>
      <c r="L115" s="84">
        <f t="shared" si="32"/>
        <v>99.280033333333321</v>
      </c>
      <c r="M115" s="85">
        <f t="shared" si="22"/>
        <v>34.748011666667026</v>
      </c>
      <c r="N115" s="98">
        <f t="shared" si="19"/>
        <v>134.02804500000036</v>
      </c>
      <c r="S115" s="97" t="s">
        <v>228</v>
      </c>
      <c r="T115" s="83">
        <f t="shared" si="37"/>
        <v>2587.8158166666799</v>
      </c>
      <c r="U115" s="84">
        <f t="shared" si="34"/>
        <v>78.418661111111106</v>
      </c>
      <c r="V115" s="85">
        <f t="shared" si="23"/>
        <v>43.130263611111332</v>
      </c>
      <c r="W115" s="98">
        <f t="shared" si="24"/>
        <v>121.54892472222244</v>
      </c>
      <c r="Z115" s="97" t="s">
        <v>228</v>
      </c>
      <c r="AA115" s="83">
        <f t="shared" si="25"/>
        <v>7892.9872008502898</v>
      </c>
      <c r="AB115" s="83">
        <f t="shared" si="26"/>
        <v>535.50877046485334</v>
      </c>
      <c r="AC115" s="83">
        <f t="shared" si="27"/>
        <v>131.54978668083817</v>
      </c>
      <c r="AD115" s="83">
        <f t="shared" si="28"/>
        <v>667.05855714569145</v>
      </c>
      <c r="AF115" s="88">
        <f t="shared" si="35"/>
        <v>0</v>
      </c>
    </row>
    <row r="116" spans="2:32" x14ac:dyDescent="0.25">
      <c r="C116" s="97" t="s">
        <v>229</v>
      </c>
      <c r="D116" s="83">
        <f t="shared" si="36"/>
        <v>2862.4806081631796</v>
      </c>
      <c r="E116" s="84">
        <f t="shared" si="30"/>
        <v>357.81007602040887</v>
      </c>
      <c r="F116" s="85">
        <f t="shared" si="20"/>
        <v>47.708010136052991</v>
      </c>
      <c r="G116" s="98">
        <f t="shared" si="21"/>
        <v>405.51808615646189</v>
      </c>
      <c r="J116" s="97" t="s">
        <v>229</v>
      </c>
      <c r="K116" s="83">
        <f t="shared" si="31"/>
        <v>1985.6006666666883</v>
      </c>
      <c r="L116" s="84">
        <f t="shared" si="32"/>
        <v>99.280033333333321</v>
      </c>
      <c r="M116" s="85">
        <f t="shared" si="22"/>
        <v>33.093344444444803</v>
      </c>
      <c r="N116" s="98">
        <f t="shared" si="19"/>
        <v>132.37337777777813</v>
      </c>
      <c r="S116" s="97" t="s">
        <v>229</v>
      </c>
      <c r="T116" s="83">
        <f t="shared" si="37"/>
        <v>2509.3971555555686</v>
      </c>
      <c r="U116" s="84">
        <f t="shared" si="34"/>
        <v>78.418661111111106</v>
      </c>
      <c r="V116" s="85">
        <f t="shared" si="23"/>
        <v>41.823285925926143</v>
      </c>
      <c r="W116" s="98">
        <f t="shared" si="24"/>
        <v>120.24194703703725</v>
      </c>
      <c r="Z116" s="97" t="s">
        <v>229</v>
      </c>
      <c r="AA116" s="83">
        <f t="shared" si="25"/>
        <v>7357.4784303854358</v>
      </c>
      <c r="AB116" s="83">
        <f t="shared" si="26"/>
        <v>535.50877046485334</v>
      </c>
      <c r="AC116" s="83">
        <f t="shared" si="27"/>
        <v>122.62464050642393</v>
      </c>
      <c r="AD116" s="83">
        <f t="shared" si="28"/>
        <v>658.13341097127727</v>
      </c>
      <c r="AF116" s="88">
        <f t="shared" si="35"/>
        <v>0</v>
      </c>
    </row>
    <row r="117" spans="2:32" x14ac:dyDescent="0.25">
      <c r="C117" s="97" t="s">
        <v>230</v>
      </c>
      <c r="D117" s="83">
        <f t="shared" si="36"/>
        <v>2504.6705321427708</v>
      </c>
      <c r="E117" s="84">
        <f t="shared" si="30"/>
        <v>357.81007602040887</v>
      </c>
      <c r="F117" s="85">
        <f t="shared" si="20"/>
        <v>41.744508869046179</v>
      </c>
      <c r="G117" s="98">
        <f t="shared" si="21"/>
        <v>399.55458488945504</v>
      </c>
      <c r="J117" s="97" t="s">
        <v>230</v>
      </c>
      <c r="K117" s="83">
        <f t="shared" si="31"/>
        <v>1886.3206333333551</v>
      </c>
      <c r="L117" s="84">
        <f t="shared" si="32"/>
        <v>99.280033333333321</v>
      </c>
      <c r="M117" s="85">
        <f t="shared" si="22"/>
        <v>31.438677222222584</v>
      </c>
      <c r="N117" s="98">
        <f t="shared" si="19"/>
        <v>130.7187105555559</v>
      </c>
      <c r="S117" s="97" t="s">
        <v>230</v>
      </c>
      <c r="T117" s="83">
        <f t="shared" si="37"/>
        <v>2430.9784944444573</v>
      </c>
      <c r="U117" s="84">
        <f t="shared" si="34"/>
        <v>78.418661111111106</v>
      </c>
      <c r="V117" s="85">
        <f t="shared" si="23"/>
        <v>40.516308240740955</v>
      </c>
      <c r="W117" s="98">
        <f t="shared" si="24"/>
        <v>118.93496935185206</v>
      </c>
      <c r="Z117" s="97" t="s">
        <v>230</v>
      </c>
      <c r="AA117" s="83">
        <f t="shared" si="25"/>
        <v>6821.9696599205827</v>
      </c>
      <c r="AB117" s="83">
        <f t="shared" si="26"/>
        <v>535.50877046485334</v>
      </c>
      <c r="AC117" s="83">
        <f t="shared" si="27"/>
        <v>113.69949433200972</v>
      </c>
      <c r="AD117" s="83">
        <f t="shared" si="28"/>
        <v>649.20826479686298</v>
      </c>
      <c r="AF117" s="88">
        <f t="shared" si="35"/>
        <v>0</v>
      </c>
    </row>
    <row r="118" spans="2:32" x14ac:dyDescent="0.25">
      <c r="C118" s="97" t="s">
        <v>231</v>
      </c>
      <c r="D118" s="83">
        <f t="shared" si="36"/>
        <v>2146.8604561223619</v>
      </c>
      <c r="E118" s="84">
        <f t="shared" si="30"/>
        <v>357.81007602040887</v>
      </c>
      <c r="F118" s="85">
        <f t="shared" si="20"/>
        <v>35.781007602039367</v>
      </c>
      <c r="G118" s="98">
        <f t="shared" si="21"/>
        <v>393.59108362244825</v>
      </c>
      <c r="J118" s="97" t="s">
        <v>231</v>
      </c>
      <c r="K118" s="83">
        <f t="shared" si="31"/>
        <v>1787.0406000000219</v>
      </c>
      <c r="L118" s="84">
        <f t="shared" si="32"/>
        <v>99.280033333333321</v>
      </c>
      <c r="M118" s="85">
        <f t="shared" si="22"/>
        <v>29.784010000000364</v>
      </c>
      <c r="N118" s="98">
        <f t="shared" si="19"/>
        <v>129.0640433333337</v>
      </c>
      <c r="S118" s="97" t="s">
        <v>231</v>
      </c>
      <c r="T118" s="83">
        <f t="shared" si="37"/>
        <v>2352.559833333346</v>
      </c>
      <c r="U118" s="84">
        <f t="shared" si="34"/>
        <v>78.418661111111106</v>
      </c>
      <c r="V118" s="85">
        <f t="shared" si="23"/>
        <v>39.209330555555766</v>
      </c>
      <c r="W118" s="98">
        <f t="shared" si="24"/>
        <v>117.62799166666687</v>
      </c>
      <c r="Z118" s="97" t="s">
        <v>231</v>
      </c>
      <c r="AA118" s="83">
        <f t="shared" si="25"/>
        <v>6286.4608894557296</v>
      </c>
      <c r="AB118" s="83">
        <f t="shared" si="26"/>
        <v>535.50877046485334</v>
      </c>
      <c r="AC118" s="83">
        <f t="shared" si="27"/>
        <v>104.7743481575955</v>
      </c>
      <c r="AD118" s="83">
        <f t="shared" si="28"/>
        <v>640.2831186224488</v>
      </c>
      <c r="AF118" s="88">
        <f t="shared" si="35"/>
        <v>0</v>
      </c>
    </row>
    <row r="119" spans="2:32" x14ac:dyDescent="0.25">
      <c r="C119" s="97" t="s">
        <v>232</v>
      </c>
      <c r="D119" s="83">
        <f t="shared" si="36"/>
        <v>1789.0503801019531</v>
      </c>
      <c r="E119" s="84">
        <f t="shared" si="30"/>
        <v>357.81007602040887</v>
      </c>
      <c r="F119" s="85">
        <f t="shared" si="20"/>
        <v>29.817506335032551</v>
      </c>
      <c r="G119" s="98">
        <f t="shared" si="21"/>
        <v>387.6275823554414</v>
      </c>
      <c r="J119" s="97" t="s">
        <v>232</v>
      </c>
      <c r="K119" s="83">
        <f t="shared" si="31"/>
        <v>1687.7605666666886</v>
      </c>
      <c r="L119" s="84">
        <f t="shared" si="32"/>
        <v>99.280033333333321</v>
      </c>
      <c r="M119" s="85">
        <f t="shared" si="22"/>
        <v>28.129342777778145</v>
      </c>
      <c r="N119" s="98">
        <f t="shared" si="19"/>
        <v>127.40937611111147</v>
      </c>
      <c r="S119" s="97" t="s">
        <v>232</v>
      </c>
      <c r="T119" s="83">
        <f t="shared" si="37"/>
        <v>2274.1411722222347</v>
      </c>
      <c r="U119" s="84">
        <f t="shared" si="34"/>
        <v>78.418661111111106</v>
      </c>
      <c r="V119" s="85">
        <f t="shared" si="23"/>
        <v>37.902352870370578</v>
      </c>
      <c r="W119" s="98">
        <f t="shared" si="24"/>
        <v>116.32101398148168</v>
      </c>
      <c r="Z119" s="97" t="s">
        <v>232</v>
      </c>
      <c r="AA119" s="83">
        <f t="shared" si="25"/>
        <v>5750.9521189908764</v>
      </c>
      <c r="AB119" s="83">
        <f t="shared" si="26"/>
        <v>535.50877046485334</v>
      </c>
      <c r="AC119" s="83">
        <f t="shared" si="27"/>
        <v>95.849201983181274</v>
      </c>
      <c r="AD119" s="83">
        <f t="shared" si="28"/>
        <v>631.3579724480345</v>
      </c>
      <c r="AF119" s="88">
        <f t="shared" si="35"/>
        <v>0</v>
      </c>
    </row>
    <row r="120" spans="2:32" x14ac:dyDescent="0.25">
      <c r="C120" s="97" t="s">
        <v>233</v>
      </c>
      <c r="D120" s="83">
        <f t="shared" si="36"/>
        <v>1431.2403040815443</v>
      </c>
      <c r="E120" s="84">
        <f t="shared" si="30"/>
        <v>357.81007602040887</v>
      </c>
      <c r="F120" s="85">
        <f t="shared" si="20"/>
        <v>23.854005068025739</v>
      </c>
      <c r="G120" s="98">
        <f t="shared" si="21"/>
        <v>381.66408108843461</v>
      </c>
      <c r="J120" s="97" t="s">
        <v>233</v>
      </c>
      <c r="K120" s="83">
        <f t="shared" si="31"/>
        <v>1588.4805333333554</v>
      </c>
      <c r="L120" s="84">
        <f t="shared" si="32"/>
        <v>99.280033333333321</v>
      </c>
      <c r="M120" s="85">
        <f t="shared" si="22"/>
        <v>26.474675555555923</v>
      </c>
      <c r="N120" s="98">
        <f t="shared" si="19"/>
        <v>125.75470888888924</v>
      </c>
      <c r="S120" s="97" t="s">
        <v>233</v>
      </c>
      <c r="T120" s="83">
        <f t="shared" si="37"/>
        <v>2195.7225111111234</v>
      </c>
      <c r="U120" s="84">
        <f t="shared" si="34"/>
        <v>78.418661111111106</v>
      </c>
      <c r="V120" s="85">
        <f t="shared" si="23"/>
        <v>36.595375185185389</v>
      </c>
      <c r="W120" s="98">
        <f t="shared" si="24"/>
        <v>115.0140362962965</v>
      </c>
      <c r="Z120" s="97" t="s">
        <v>233</v>
      </c>
      <c r="AA120" s="83">
        <f t="shared" si="25"/>
        <v>5215.4433485260233</v>
      </c>
      <c r="AB120" s="83">
        <f t="shared" si="26"/>
        <v>535.50877046485334</v>
      </c>
      <c r="AC120" s="83">
        <f t="shared" si="27"/>
        <v>86.924055808767051</v>
      </c>
      <c r="AD120" s="83">
        <f t="shared" si="28"/>
        <v>622.43282627362032</v>
      </c>
      <c r="AF120" s="88">
        <f t="shared" si="35"/>
        <v>0</v>
      </c>
    </row>
    <row r="121" spans="2:32" x14ac:dyDescent="0.25">
      <c r="C121" s="97" t="s">
        <v>234</v>
      </c>
      <c r="D121" s="83">
        <f t="shared" si="36"/>
        <v>1073.4302280611355</v>
      </c>
      <c r="E121" s="84">
        <f t="shared" si="30"/>
        <v>357.81007602040887</v>
      </c>
      <c r="F121" s="85">
        <f t="shared" si="20"/>
        <v>17.890503801018927</v>
      </c>
      <c r="G121" s="98">
        <f t="shared" si="21"/>
        <v>375.70057982142782</v>
      </c>
      <c r="J121" s="97" t="s">
        <v>234</v>
      </c>
      <c r="K121" s="83">
        <f t="shared" si="31"/>
        <v>1489.2005000000222</v>
      </c>
      <c r="L121" s="84">
        <f t="shared" si="32"/>
        <v>99.280033333333321</v>
      </c>
      <c r="M121" s="85">
        <f t="shared" si="22"/>
        <v>24.820008333333703</v>
      </c>
      <c r="N121" s="98">
        <f t="shared" si="19"/>
        <v>124.10004166666702</v>
      </c>
      <c r="S121" s="97" t="s">
        <v>234</v>
      </c>
      <c r="T121" s="83">
        <f t="shared" si="37"/>
        <v>2117.3038500000121</v>
      </c>
      <c r="U121" s="84">
        <f t="shared" si="34"/>
        <v>78.418661111111106</v>
      </c>
      <c r="V121" s="85">
        <f t="shared" si="23"/>
        <v>35.288397500000201</v>
      </c>
      <c r="W121" s="98">
        <f t="shared" si="24"/>
        <v>113.70705861111131</v>
      </c>
      <c r="Z121" s="97" t="s">
        <v>234</v>
      </c>
      <c r="AA121" s="83">
        <f t="shared" si="25"/>
        <v>4679.9345780611693</v>
      </c>
      <c r="AB121" s="83">
        <f t="shared" si="26"/>
        <v>535.50877046485334</v>
      </c>
      <c r="AC121" s="83">
        <f t="shared" si="27"/>
        <v>77.998909634352827</v>
      </c>
      <c r="AD121" s="83">
        <f t="shared" si="28"/>
        <v>613.50768009920614</v>
      </c>
      <c r="AF121" s="88">
        <f t="shared" si="35"/>
        <v>0</v>
      </c>
    </row>
    <row r="122" spans="2:32" x14ac:dyDescent="0.25">
      <c r="C122" s="97" t="s">
        <v>235</v>
      </c>
      <c r="D122" s="83">
        <f t="shared" si="36"/>
        <v>715.62015204072668</v>
      </c>
      <c r="E122" s="84">
        <f t="shared" si="30"/>
        <v>357.81007602040887</v>
      </c>
      <c r="F122" s="85">
        <f t="shared" si="20"/>
        <v>11.927002534012111</v>
      </c>
      <c r="G122" s="98">
        <f t="shared" si="21"/>
        <v>369.73707855442098</v>
      </c>
      <c r="J122" s="97" t="s">
        <v>235</v>
      </c>
      <c r="K122" s="83">
        <f t="shared" si="31"/>
        <v>1389.920466666689</v>
      </c>
      <c r="L122" s="84">
        <f t="shared" si="32"/>
        <v>99.280033333333321</v>
      </c>
      <c r="M122" s="85">
        <f t="shared" si="22"/>
        <v>23.165341111111484</v>
      </c>
      <c r="N122" s="98">
        <f t="shared" si="19"/>
        <v>122.44537444444481</v>
      </c>
      <c r="S122" s="97" t="s">
        <v>235</v>
      </c>
      <c r="T122" s="83">
        <f t="shared" si="37"/>
        <v>2038.885188888901</v>
      </c>
      <c r="U122" s="84">
        <f t="shared" si="34"/>
        <v>78.418661111111106</v>
      </c>
      <c r="V122" s="85">
        <f t="shared" si="23"/>
        <v>33.98141981481502</v>
      </c>
      <c r="W122" s="98">
        <f t="shared" si="24"/>
        <v>112.40008092592612</v>
      </c>
      <c r="Z122" s="97" t="s">
        <v>235</v>
      </c>
      <c r="AA122" s="83">
        <f t="shared" si="25"/>
        <v>4144.4258075963171</v>
      </c>
      <c r="AB122" s="83">
        <f t="shared" si="26"/>
        <v>535.50877046485334</v>
      </c>
      <c r="AC122" s="83">
        <f t="shared" si="27"/>
        <v>69.073763459938618</v>
      </c>
      <c r="AD122" s="83">
        <f t="shared" si="28"/>
        <v>604.58253392479185</v>
      </c>
      <c r="AF122" s="88">
        <f t="shared" si="35"/>
        <v>0</v>
      </c>
    </row>
    <row r="123" spans="2:32" x14ac:dyDescent="0.25">
      <c r="C123" s="97" t="s">
        <v>236</v>
      </c>
      <c r="D123" s="83">
        <f t="shared" ref="D123" si="38">D122-E123</f>
        <v>357.81007602031781</v>
      </c>
      <c r="E123" s="84">
        <f t="shared" si="30"/>
        <v>357.81007602040887</v>
      </c>
      <c r="F123" s="85">
        <f t="shared" ref="F123" si="39">D123*$C$2/12</f>
        <v>5.9635012670052978</v>
      </c>
      <c r="G123" s="98">
        <f t="shared" ref="G123" si="40">E123+F123</f>
        <v>363.77357728741418</v>
      </c>
      <c r="H123" s="88">
        <f>SUM(F112:F123)</f>
        <v>465.15309882651331</v>
      </c>
      <c r="J123" s="97" t="s">
        <v>236</v>
      </c>
      <c r="K123" s="83">
        <f t="shared" si="31"/>
        <v>1290.6404333333558</v>
      </c>
      <c r="L123" s="84">
        <f t="shared" si="32"/>
        <v>99.280033333333321</v>
      </c>
      <c r="M123" s="85">
        <f t="shared" si="22"/>
        <v>21.510673888889261</v>
      </c>
      <c r="N123" s="98">
        <f t="shared" si="19"/>
        <v>120.79070722222258</v>
      </c>
      <c r="O123" s="88">
        <f>SUM(M112:M123)</f>
        <v>367.3361233333377</v>
      </c>
      <c r="S123" s="97" t="s">
        <v>236</v>
      </c>
      <c r="T123" s="83">
        <f t="shared" si="37"/>
        <v>1960.4665277777899</v>
      </c>
      <c r="U123" s="84">
        <f t="shared" si="34"/>
        <v>78.418661111111106</v>
      </c>
      <c r="V123" s="85">
        <f t="shared" si="23"/>
        <v>32.674442129629831</v>
      </c>
      <c r="W123" s="98">
        <f t="shared" si="24"/>
        <v>111.09310324074093</v>
      </c>
      <c r="X123" s="88">
        <f>SUM(V112:V123)</f>
        <v>478.35383277778033</v>
      </c>
      <c r="Z123" s="97" t="s">
        <v>236</v>
      </c>
      <c r="AA123" s="83">
        <f t="shared" si="25"/>
        <v>3608.9170371314635</v>
      </c>
      <c r="AB123" s="83">
        <f t="shared" si="26"/>
        <v>535.50877046485334</v>
      </c>
      <c r="AC123" s="83">
        <f t="shared" si="27"/>
        <v>60.148617285524395</v>
      </c>
      <c r="AD123" s="83">
        <f t="shared" si="28"/>
        <v>595.65738775037767</v>
      </c>
      <c r="AE123" s="88">
        <f>SUM(AC112:AC123)</f>
        <v>1310.8430549376312</v>
      </c>
      <c r="AF123" s="88">
        <f t="shared" si="35"/>
        <v>1310.8430549376312</v>
      </c>
    </row>
    <row r="124" spans="2:32" x14ac:dyDescent="0.25">
      <c r="B124">
        <f>B112+1</f>
        <v>2035</v>
      </c>
      <c r="C124" s="96" t="s">
        <v>225</v>
      </c>
      <c r="D124" s="83"/>
      <c r="E124" s="84"/>
      <c r="F124" s="85"/>
      <c r="G124" s="98"/>
      <c r="I124">
        <f>I112+1</f>
        <v>2035</v>
      </c>
      <c r="J124" s="96" t="s">
        <v>225</v>
      </c>
      <c r="K124" s="83">
        <f t="shared" ref="K124:K135" si="41">K123-L124</f>
        <v>1191.3604000000225</v>
      </c>
      <c r="L124" s="84">
        <f t="shared" si="32"/>
        <v>99.280033333333321</v>
      </c>
      <c r="M124" s="85">
        <f t="shared" ref="M124:M135" si="42">K124*$C$2/12</f>
        <v>19.856006666667042</v>
      </c>
      <c r="N124" s="98">
        <f t="shared" ref="N124:N135" si="43">L124+M124</f>
        <v>119.13604000000036</v>
      </c>
      <c r="R124">
        <f>R112+1</f>
        <v>2035</v>
      </c>
      <c r="S124" s="96" t="s">
        <v>225</v>
      </c>
      <c r="T124" s="83">
        <f t="shared" ref="T124:T136" si="44">T123-U124</f>
        <v>1882.0478666666788</v>
      </c>
      <c r="U124" s="84">
        <f t="shared" si="34"/>
        <v>78.418661111111106</v>
      </c>
      <c r="V124" s="85">
        <f t="shared" ref="V124:V136" si="45">T124*$C$2/12</f>
        <v>31.36746444444465</v>
      </c>
      <c r="W124" s="98">
        <f t="shared" ref="W124:W136" si="46">U124+V124</f>
        <v>109.78612555555576</v>
      </c>
      <c r="Y124" s="92">
        <v>2037</v>
      </c>
      <c r="Z124" s="96" t="s">
        <v>225</v>
      </c>
      <c r="AA124" s="83">
        <f t="shared" si="25"/>
        <v>3073.4082666667014</v>
      </c>
      <c r="AB124" s="83">
        <f t="shared" si="26"/>
        <v>177.69869444444441</v>
      </c>
      <c r="AC124" s="83">
        <f t="shared" si="27"/>
        <v>51.223471111111692</v>
      </c>
      <c r="AD124" s="83">
        <f t="shared" si="28"/>
        <v>228.92216555555612</v>
      </c>
      <c r="AF124" s="88">
        <f t="shared" si="35"/>
        <v>0</v>
      </c>
    </row>
    <row r="125" spans="2:32" x14ac:dyDescent="0.25">
      <c r="B125" s="92"/>
      <c r="C125" s="97" t="s">
        <v>226</v>
      </c>
      <c r="D125" s="83"/>
      <c r="E125" s="84"/>
      <c r="F125" s="85"/>
      <c r="G125" s="98"/>
      <c r="I125" s="92"/>
      <c r="J125" s="97" t="s">
        <v>226</v>
      </c>
      <c r="K125" s="83">
        <f t="shared" si="41"/>
        <v>1092.0803666666893</v>
      </c>
      <c r="L125" s="84">
        <f t="shared" si="32"/>
        <v>99.280033333333321</v>
      </c>
      <c r="M125" s="85">
        <f t="shared" si="42"/>
        <v>18.201339444444823</v>
      </c>
      <c r="N125" s="98">
        <f t="shared" si="43"/>
        <v>117.48137277777815</v>
      </c>
      <c r="R125" s="92"/>
      <c r="S125" s="97" t="s">
        <v>226</v>
      </c>
      <c r="T125" s="83">
        <f t="shared" si="44"/>
        <v>1803.6292055555678</v>
      </c>
      <c r="U125" s="84">
        <f t="shared" si="34"/>
        <v>78.418661111111106</v>
      </c>
      <c r="V125" s="85">
        <f t="shared" si="45"/>
        <v>30.060486759259465</v>
      </c>
      <c r="W125" s="98">
        <f t="shared" si="46"/>
        <v>108.47914787037057</v>
      </c>
      <c r="Y125" s="92"/>
      <c r="Z125" s="97" t="s">
        <v>226</v>
      </c>
      <c r="AA125" s="83">
        <f t="shared" si="25"/>
        <v>2895.7095722222571</v>
      </c>
      <c r="AB125" s="83">
        <f t="shared" si="26"/>
        <v>177.69869444444441</v>
      </c>
      <c r="AC125" s="83">
        <f t="shared" si="27"/>
        <v>48.261826203704288</v>
      </c>
      <c r="AD125" s="83">
        <f t="shared" si="28"/>
        <v>225.9605206481487</v>
      </c>
      <c r="AF125" s="88">
        <f t="shared" si="35"/>
        <v>0</v>
      </c>
    </row>
    <row r="126" spans="2:32" x14ac:dyDescent="0.25">
      <c r="C126" s="97" t="s">
        <v>227</v>
      </c>
      <c r="D126" s="83"/>
      <c r="E126" s="84"/>
      <c r="F126" s="85"/>
      <c r="G126" s="98"/>
      <c r="J126" s="97" t="s">
        <v>227</v>
      </c>
      <c r="K126" s="83">
        <f t="shared" si="41"/>
        <v>992.80033333335598</v>
      </c>
      <c r="L126" s="84">
        <f t="shared" si="32"/>
        <v>99.280033333333321</v>
      </c>
      <c r="M126" s="85">
        <f t="shared" si="42"/>
        <v>16.5466722222226</v>
      </c>
      <c r="N126" s="98">
        <f t="shared" si="43"/>
        <v>115.82670555555592</v>
      </c>
      <c r="S126" s="97" t="s">
        <v>227</v>
      </c>
      <c r="T126" s="83">
        <f t="shared" si="44"/>
        <v>1725.2105444444567</v>
      </c>
      <c r="U126" s="84">
        <f t="shared" si="34"/>
        <v>78.418661111111106</v>
      </c>
      <c r="V126" s="85">
        <f t="shared" si="45"/>
        <v>28.753509074074277</v>
      </c>
      <c r="W126" s="98">
        <f t="shared" si="46"/>
        <v>107.17217018518538</v>
      </c>
      <c r="Z126" s="97" t="s">
        <v>227</v>
      </c>
      <c r="AA126" s="83">
        <f t="shared" si="25"/>
        <v>2718.0108777778128</v>
      </c>
      <c r="AB126" s="83">
        <f t="shared" si="26"/>
        <v>177.69869444444441</v>
      </c>
      <c r="AC126" s="83">
        <f t="shared" si="27"/>
        <v>45.300181296296877</v>
      </c>
      <c r="AD126" s="83">
        <f t="shared" si="28"/>
        <v>222.99887574074131</v>
      </c>
      <c r="AF126" s="88">
        <f t="shared" si="35"/>
        <v>0</v>
      </c>
    </row>
    <row r="127" spans="2:32" x14ac:dyDescent="0.25">
      <c r="C127" s="97" t="s">
        <v>228</v>
      </c>
      <c r="D127" s="83"/>
      <c r="E127" s="84"/>
      <c r="F127" s="85"/>
      <c r="G127" s="98"/>
      <c r="J127" s="97" t="s">
        <v>228</v>
      </c>
      <c r="K127" s="83">
        <f t="shared" si="41"/>
        <v>893.52030000002264</v>
      </c>
      <c r="L127" s="84">
        <f t="shared" si="32"/>
        <v>99.280033333333321</v>
      </c>
      <c r="M127" s="85">
        <f t="shared" si="42"/>
        <v>14.892005000000379</v>
      </c>
      <c r="N127" s="98">
        <f t="shared" si="43"/>
        <v>114.1720383333337</v>
      </c>
      <c r="S127" s="97" t="s">
        <v>228</v>
      </c>
      <c r="T127" s="83">
        <f t="shared" si="44"/>
        <v>1646.7918833333456</v>
      </c>
      <c r="U127" s="84">
        <f t="shared" si="34"/>
        <v>78.418661111111106</v>
      </c>
      <c r="V127" s="85">
        <f t="shared" si="45"/>
        <v>27.446531388889095</v>
      </c>
      <c r="W127" s="98">
        <f t="shared" si="46"/>
        <v>105.86519250000021</v>
      </c>
      <c r="Z127" s="97" t="s">
        <v>228</v>
      </c>
      <c r="AA127" s="83">
        <f t="shared" si="25"/>
        <v>2540.312183333368</v>
      </c>
      <c r="AB127" s="83">
        <f t="shared" si="26"/>
        <v>177.69869444444441</v>
      </c>
      <c r="AC127" s="83">
        <f t="shared" si="27"/>
        <v>42.338536388889473</v>
      </c>
      <c r="AD127" s="83">
        <f t="shared" si="28"/>
        <v>220.03723083333392</v>
      </c>
      <c r="AF127" s="88">
        <f t="shared" si="35"/>
        <v>0</v>
      </c>
    </row>
    <row r="128" spans="2:32" x14ac:dyDescent="0.25">
      <c r="C128" s="97" t="s">
        <v>229</v>
      </c>
      <c r="D128" s="83"/>
      <c r="E128" s="84"/>
      <c r="F128" s="85"/>
      <c r="G128" s="98"/>
      <c r="J128" s="97" t="s">
        <v>229</v>
      </c>
      <c r="K128" s="83">
        <f t="shared" si="41"/>
        <v>794.24026666668931</v>
      </c>
      <c r="L128" s="84">
        <f t="shared" si="32"/>
        <v>99.280033333333321</v>
      </c>
      <c r="M128" s="85">
        <f t="shared" si="42"/>
        <v>13.237337777778157</v>
      </c>
      <c r="N128" s="98">
        <f t="shared" si="43"/>
        <v>112.51737111111147</v>
      </c>
      <c r="S128" s="97" t="s">
        <v>229</v>
      </c>
      <c r="T128" s="83">
        <f t="shared" si="44"/>
        <v>1568.3732222222345</v>
      </c>
      <c r="U128" s="84">
        <f t="shared" si="34"/>
        <v>78.418661111111106</v>
      </c>
      <c r="V128" s="85">
        <f t="shared" si="45"/>
        <v>26.139553703703911</v>
      </c>
      <c r="W128" s="98">
        <f t="shared" si="46"/>
        <v>104.55821481481502</v>
      </c>
      <c r="Z128" s="97" t="s">
        <v>229</v>
      </c>
      <c r="AA128" s="83">
        <f t="shared" si="25"/>
        <v>2362.6134888889237</v>
      </c>
      <c r="AB128" s="83">
        <f t="shared" si="26"/>
        <v>177.69869444444441</v>
      </c>
      <c r="AC128" s="83">
        <f t="shared" si="27"/>
        <v>39.376891481482069</v>
      </c>
      <c r="AD128" s="83">
        <f t="shared" si="28"/>
        <v>217.07558592592648</v>
      </c>
      <c r="AF128" s="88">
        <f t="shared" si="35"/>
        <v>0</v>
      </c>
    </row>
    <row r="129" spans="2:32" x14ac:dyDescent="0.25">
      <c r="C129" s="97" t="s">
        <v>230</v>
      </c>
      <c r="D129" s="83"/>
      <c r="E129" s="84"/>
      <c r="F129" s="85"/>
      <c r="G129" s="98"/>
      <c r="J129" s="97" t="s">
        <v>230</v>
      </c>
      <c r="K129" s="83">
        <f t="shared" si="41"/>
        <v>694.96023333335597</v>
      </c>
      <c r="L129" s="84">
        <f t="shared" si="32"/>
        <v>99.280033333333321</v>
      </c>
      <c r="M129" s="85">
        <f t="shared" si="42"/>
        <v>11.582670555555934</v>
      </c>
      <c r="N129" s="98">
        <f t="shared" si="43"/>
        <v>110.86270388888926</v>
      </c>
      <c r="S129" s="97" t="s">
        <v>230</v>
      </c>
      <c r="T129" s="83">
        <f t="shared" si="44"/>
        <v>1489.9545611111234</v>
      </c>
      <c r="U129" s="84">
        <f t="shared" si="34"/>
        <v>78.418661111111106</v>
      </c>
      <c r="V129" s="85">
        <f t="shared" si="45"/>
        <v>24.832576018518726</v>
      </c>
      <c r="W129" s="98">
        <f t="shared" si="46"/>
        <v>103.25123712962983</v>
      </c>
      <c r="Z129" s="97" t="s">
        <v>230</v>
      </c>
      <c r="AA129" s="83">
        <f t="shared" si="25"/>
        <v>2184.9147944444794</v>
      </c>
      <c r="AB129" s="83">
        <f t="shared" si="26"/>
        <v>177.69869444444441</v>
      </c>
      <c r="AC129" s="83">
        <f t="shared" si="27"/>
        <v>36.415246574074658</v>
      </c>
      <c r="AD129" s="83">
        <f t="shared" si="28"/>
        <v>214.11394101851909</v>
      </c>
      <c r="AF129" s="88">
        <f t="shared" si="35"/>
        <v>0</v>
      </c>
    </row>
    <row r="130" spans="2:32" x14ac:dyDescent="0.25">
      <c r="C130" s="97" t="s">
        <v>231</v>
      </c>
      <c r="D130" s="83"/>
      <c r="E130" s="84"/>
      <c r="F130" s="85"/>
      <c r="G130" s="98"/>
      <c r="J130" s="97" t="s">
        <v>231</v>
      </c>
      <c r="K130" s="83">
        <f t="shared" si="41"/>
        <v>595.68020000002264</v>
      </c>
      <c r="L130" s="84">
        <f t="shared" si="32"/>
        <v>99.280033333333321</v>
      </c>
      <c r="M130" s="85">
        <f t="shared" si="42"/>
        <v>9.9280033333337112</v>
      </c>
      <c r="N130" s="98">
        <f t="shared" si="43"/>
        <v>109.20803666666703</v>
      </c>
      <c r="S130" s="97" t="s">
        <v>231</v>
      </c>
      <c r="T130" s="83">
        <f t="shared" si="44"/>
        <v>1411.5359000000124</v>
      </c>
      <c r="U130" s="84">
        <f t="shared" si="34"/>
        <v>78.418661111111106</v>
      </c>
      <c r="V130" s="85">
        <f t="shared" si="45"/>
        <v>23.525598333333537</v>
      </c>
      <c r="W130" s="98">
        <f t="shared" si="46"/>
        <v>101.94425944444464</v>
      </c>
      <c r="Z130" s="97" t="s">
        <v>231</v>
      </c>
      <c r="AA130" s="83">
        <f t="shared" si="25"/>
        <v>2007.2161000000351</v>
      </c>
      <c r="AB130" s="83">
        <f t="shared" si="26"/>
        <v>177.69869444444441</v>
      </c>
      <c r="AC130" s="83">
        <f t="shared" si="27"/>
        <v>33.453601666667247</v>
      </c>
      <c r="AD130" s="83">
        <f t="shared" si="28"/>
        <v>211.15229611111167</v>
      </c>
      <c r="AF130" s="88">
        <f t="shared" si="35"/>
        <v>0</v>
      </c>
    </row>
    <row r="131" spans="2:32" x14ac:dyDescent="0.25">
      <c r="C131" s="97" t="s">
        <v>232</v>
      </c>
      <c r="D131" s="83"/>
      <c r="E131" s="84"/>
      <c r="F131" s="85"/>
      <c r="G131" s="98"/>
      <c r="J131" s="97" t="s">
        <v>232</v>
      </c>
      <c r="K131" s="83">
        <f t="shared" si="41"/>
        <v>496.4001666666893</v>
      </c>
      <c r="L131" s="84">
        <f t="shared" si="32"/>
        <v>99.280033333333321</v>
      </c>
      <c r="M131" s="85">
        <f t="shared" si="42"/>
        <v>8.2733361111114885</v>
      </c>
      <c r="N131" s="98">
        <f t="shared" si="43"/>
        <v>107.55336944444481</v>
      </c>
      <c r="S131" s="97" t="s">
        <v>232</v>
      </c>
      <c r="T131" s="83">
        <f t="shared" si="44"/>
        <v>1333.1172388889013</v>
      </c>
      <c r="U131" s="84">
        <f t="shared" si="34"/>
        <v>78.418661111111106</v>
      </c>
      <c r="V131" s="85">
        <f t="shared" si="45"/>
        <v>22.218620648148356</v>
      </c>
      <c r="W131" s="98">
        <f t="shared" si="46"/>
        <v>100.63728175925947</v>
      </c>
      <c r="Z131" s="97" t="s">
        <v>232</v>
      </c>
      <c r="AA131" s="83">
        <f t="shared" si="25"/>
        <v>1829.5174055555906</v>
      </c>
      <c r="AB131" s="83">
        <f t="shared" si="26"/>
        <v>177.69869444444441</v>
      </c>
      <c r="AC131" s="83">
        <f t="shared" si="27"/>
        <v>30.491956759259843</v>
      </c>
      <c r="AD131" s="83">
        <f t="shared" si="28"/>
        <v>208.19065120370428</v>
      </c>
      <c r="AF131" s="88">
        <f t="shared" si="35"/>
        <v>0</v>
      </c>
    </row>
    <row r="132" spans="2:32" x14ac:dyDescent="0.25">
      <c r="C132" s="97" t="s">
        <v>233</v>
      </c>
      <c r="D132" s="83"/>
      <c r="E132" s="84"/>
      <c r="F132" s="85"/>
      <c r="G132" s="98"/>
      <c r="J132" s="97" t="s">
        <v>233</v>
      </c>
      <c r="K132" s="83">
        <f t="shared" si="41"/>
        <v>397.12013333335597</v>
      </c>
      <c r="L132" s="84">
        <f t="shared" si="32"/>
        <v>99.280033333333321</v>
      </c>
      <c r="M132" s="85">
        <f t="shared" si="42"/>
        <v>6.6186688888892666</v>
      </c>
      <c r="N132" s="98">
        <f t="shared" si="43"/>
        <v>105.89870222222258</v>
      </c>
      <c r="S132" s="97" t="s">
        <v>233</v>
      </c>
      <c r="T132" s="83">
        <f t="shared" si="44"/>
        <v>1254.6985777777902</v>
      </c>
      <c r="U132" s="84">
        <f t="shared" si="34"/>
        <v>78.418661111111106</v>
      </c>
      <c r="V132" s="85">
        <f t="shared" si="45"/>
        <v>20.911642962963171</v>
      </c>
      <c r="W132" s="98">
        <f t="shared" si="46"/>
        <v>99.330304074074277</v>
      </c>
      <c r="Z132" s="97" t="s">
        <v>233</v>
      </c>
      <c r="AA132" s="83">
        <f t="shared" si="25"/>
        <v>1651.8187111111461</v>
      </c>
      <c r="AB132" s="83">
        <f t="shared" si="26"/>
        <v>177.69869444444441</v>
      </c>
      <c r="AC132" s="83">
        <f t="shared" si="27"/>
        <v>27.530311851852439</v>
      </c>
      <c r="AD132" s="83">
        <f t="shared" si="28"/>
        <v>205.22900629629686</v>
      </c>
      <c r="AF132" s="88">
        <f t="shared" si="35"/>
        <v>0</v>
      </c>
    </row>
    <row r="133" spans="2:32" x14ac:dyDescent="0.25">
      <c r="C133" s="97" t="s">
        <v>234</v>
      </c>
      <c r="D133" s="83"/>
      <c r="E133" s="84"/>
      <c r="F133" s="85"/>
      <c r="G133" s="98"/>
      <c r="J133" s="97" t="s">
        <v>234</v>
      </c>
      <c r="K133" s="83">
        <f t="shared" si="41"/>
        <v>297.84010000002263</v>
      </c>
      <c r="L133" s="84">
        <f t="shared" si="32"/>
        <v>99.280033333333321</v>
      </c>
      <c r="M133" s="85">
        <f t="shared" si="42"/>
        <v>4.9640016666670439</v>
      </c>
      <c r="N133" s="98">
        <f t="shared" si="43"/>
        <v>104.24403500000037</v>
      </c>
      <c r="S133" s="97" t="s">
        <v>234</v>
      </c>
      <c r="T133" s="83">
        <f t="shared" si="44"/>
        <v>1176.2799166666791</v>
      </c>
      <c r="U133" s="84">
        <f t="shared" si="34"/>
        <v>78.418661111111106</v>
      </c>
      <c r="V133" s="85">
        <f t="shared" si="45"/>
        <v>19.604665277777986</v>
      </c>
      <c r="W133" s="98">
        <f t="shared" si="46"/>
        <v>98.023326388889089</v>
      </c>
      <c r="Z133" s="97" t="s">
        <v>234</v>
      </c>
      <c r="AA133" s="83">
        <f t="shared" ref="AA133:AA147" si="47">K133+D133+T133</f>
        <v>1474.1200166667018</v>
      </c>
      <c r="AB133" s="83">
        <f t="shared" ref="AB133:AB147" si="48">L133+E133+U133</f>
        <v>177.69869444444441</v>
      </c>
      <c r="AC133" s="83">
        <f t="shared" ref="AC133:AC147" si="49">M133+F133+V133</f>
        <v>24.568666944445031</v>
      </c>
      <c r="AD133" s="83">
        <f t="shared" ref="AD133:AD147" si="50">N133+G133+W133</f>
        <v>202.26736138888947</v>
      </c>
      <c r="AF133" s="88">
        <f t="shared" si="35"/>
        <v>0</v>
      </c>
    </row>
    <row r="134" spans="2:32" x14ac:dyDescent="0.25">
      <c r="C134" s="97" t="s">
        <v>235</v>
      </c>
      <c r="D134" s="83"/>
      <c r="E134" s="84"/>
      <c r="F134" s="85"/>
      <c r="G134" s="98"/>
      <c r="J134" s="97" t="s">
        <v>235</v>
      </c>
      <c r="K134" s="83">
        <f t="shared" si="41"/>
        <v>198.56006666668929</v>
      </c>
      <c r="L134" s="84">
        <f t="shared" ref="L134:L135" si="51">L133</f>
        <v>99.280033333333321</v>
      </c>
      <c r="M134" s="85">
        <f t="shared" si="42"/>
        <v>3.3093344444448221</v>
      </c>
      <c r="N134" s="98">
        <f t="shared" si="43"/>
        <v>102.58936777777814</v>
      </c>
      <c r="S134" s="97" t="s">
        <v>235</v>
      </c>
      <c r="T134" s="83">
        <f t="shared" si="44"/>
        <v>1097.8612555555681</v>
      </c>
      <c r="U134" s="84">
        <f t="shared" ref="U134:U147" si="52">U133</f>
        <v>78.418661111111106</v>
      </c>
      <c r="V134" s="85">
        <f t="shared" si="45"/>
        <v>18.297687592592801</v>
      </c>
      <c r="W134" s="98">
        <f t="shared" si="46"/>
        <v>96.716348703703915</v>
      </c>
      <c r="Z134" s="97" t="s">
        <v>235</v>
      </c>
      <c r="AA134" s="83">
        <f t="shared" si="47"/>
        <v>1296.4213222222575</v>
      </c>
      <c r="AB134" s="83">
        <f t="shared" si="48"/>
        <v>177.69869444444441</v>
      </c>
      <c r="AC134" s="83">
        <f t="shared" si="49"/>
        <v>21.607022037037623</v>
      </c>
      <c r="AD134" s="83">
        <f t="shared" si="50"/>
        <v>199.30571648148205</v>
      </c>
      <c r="AF134" s="88">
        <f t="shared" si="35"/>
        <v>0</v>
      </c>
    </row>
    <row r="135" spans="2:32" x14ac:dyDescent="0.25">
      <c r="C135" s="97" t="s">
        <v>236</v>
      </c>
      <c r="D135" s="83"/>
      <c r="E135" s="84"/>
      <c r="F135" s="85"/>
      <c r="G135" s="98"/>
      <c r="H135" s="88">
        <f>SUM(F124:F135)</f>
        <v>0</v>
      </c>
      <c r="J135" s="97" t="s">
        <v>236</v>
      </c>
      <c r="K135" s="83">
        <f t="shared" si="41"/>
        <v>99.280033333355973</v>
      </c>
      <c r="L135" s="84">
        <f t="shared" si="51"/>
        <v>99.280033333333321</v>
      </c>
      <c r="M135" s="85">
        <f t="shared" si="42"/>
        <v>1.6546672222225995</v>
      </c>
      <c r="N135" s="98">
        <f t="shared" si="43"/>
        <v>100.93470055555592</v>
      </c>
      <c r="O135" s="88">
        <f>SUM(M124:M135)</f>
        <v>129.06404333333785</v>
      </c>
      <c r="S135" s="97" t="s">
        <v>236</v>
      </c>
      <c r="T135" s="83">
        <f t="shared" si="44"/>
        <v>1019.442594444457</v>
      </c>
      <c r="U135" s="84">
        <f t="shared" si="52"/>
        <v>78.418661111111106</v>
      </c>
      <c r="V135" s="85">
        <f t="shared" si="45"/>
        <v>16.990709907407616</v>
      </c>
      <c r="W135" s="98">
        <f t="shared" si="46"/>
        <v>95.409371018518726</v>
      </c>
      <c r="X135" s="88">
        <f>SUM(V124:V135)</f>
        <v>290.14904611111359</v>
      </c>
      <c r="Z135" s="97" t="s">
        <v>236</v>
      </c>
      <c r="AA135" s="83">
        <f t="shared" si="47"/>
        <v>1118.7226277778129</v>
      </c>
      <c r="AB135" s="83">
        <f t="shared" si="48"/>
        <v>177.69869444444441</v>
      </c>
      <c r="AC135" s="83">
        <f t="shared" si="49"/>
        <v>18.645377129630216</v>
      </c>
      <c r="AD135" s="83">
        <f t="shared" si="50"/>
        <v>196.34407157407463</v>
      </c>
      <c r="AE135" s="88">
        <f>SUM(AC124:AC135)</f>
        <v>419.21308944445144</v>
      </c>
      <c r="AF135" s="88">
        <f t="shared" si="35"/>
        <v>419.21308944445144</v>
      </c>
    </row>
    <row r="136" spans="2:32" x14ac:dyDescent="0.25">
      <c r="B136">
        <f>B124+1</f>
        <v>2036</v>
      </c>
      <c r="C136" s="96" t="s">
        <v>225</v>
      </c>
      <c r="D136" s="83"/>
      <c r="E136" s="84"/>
      <c r="F136" s="84"/>
      <c r="G136" s="84"/>
      <c r="H136" s="84"/>
      <c r="I136">
        <f>I124+1</f>
        <v>2036</v>
      </c>
      <c r="J136" s="96" t="s">
        <v>225</v>
      </c>
      <c r="K136" s="83"/>
      <c r="L136" s="84"/>
      <c r="M136" s="84"/>
      <c r="N136" s="84"/>
      <c r="O136" s="99"/>
      <c r="R136">
        <f>R124+1</f>
        <v>2036</v>
      </c>
      <c r="S136" s="96" t="s">
        <v>225</v>
      </c>
      <c r="T136" s="83">
        <f t="shared" si="44"/>
        <v>941.02393333334589</v>
      </c>
      <c r="U136" s="84">
        <f t="shared" si="52"/>
        <v>78.418661111111106</v>
      </c>
      <c r="V136" s="85">
        <f t="shared" si="45"/>
        <v>15.683732222222432</v>
      </c>
      <c r="W136" s="98">
        <f t="shared" si="46"/>
        <v>94.102393333333538</v>
      </c>
      <c r="X136" s="99"/>
      <c r="Y136" s="92">
        <v>2038</v>
      </c>
      <c r="Z136" s="96" t="s">
        <v>225</v>
      </c>
      <c r="AA136" s="83">
        <f t="shared" si="47"/>
        <v>941.02393333334589</v>
      </c>
      <c r="AB136" s="83">
        <f t="shared" si="48"/>
        <v>78.418661111111106</v>
      </c>
      <c r="AC136" s="83">
        <f t="shared" si="49"/>
        <v>15.683732222222432</v>
      </c>
      <c r="AD136" s="83">
        <f t="shared" si="50"/>
        <v>94.102393333333538</v>
      </c>
      <c r="AE136" s="99"/>
      <c r="AF136" s="88">
        <f t="shared" si="35"/>
        <v>0</v>
      </c>
    </row>
    <row r="137" spans="2:32" x14ac:dyDescent="0.25">
      <c r="B137" s="92"/>
      <c r="C137" s="97" t="s">
        <v>226</v>
      </c>
      <c r="D137" s="100"/>
      <c r="E137" s="88"/>
      <c r="G137" s="88"/>
      <c r="I137" s="92"/>
      <c r="J137" s="97" t="s">
        <v>226</v>
      </c>
      <c r="K137" s="100"/>
      <c r="L137" s="88"/>
      <c r="N137" s="88"/>
      <c r="R137" s="92"/>
      <c r="S137" s="97" t="s">
        <v>226</v>
      </c>
      <c r="T137" s="83">
        <f t="shared" ref="T137:T147" si="53">T136-U137</f>
        <v>862.60527222223482</v>
      </c>
      <c r="U137" s="84">
        <f t="shared" si="52"/>
        <v>78.418661111111106</v>
      </c>
      <c r="V137" s="85">
        <f t="shared" ref="V137:V147" si="54">T137*$C$2/12</f>
        <v>14.376754537037248</v>
      </c>
      <c r="W137" s="98">
        <f t="shared" ref="W137:W147" si="55">U137+V137</f>
        <v>92.795415648148349</v>
      </c>
      <c r="Y137" s="92"/>
      <c r="Z137" s="97" t="s">
        <v>226</v>
      </c>
      <c r="AA137" s="83">
        <f t="shared" si="47"/>
        <v>862.60527222223482</v>
      </c>
      <c r="AB137" s="83">
        <f t="shared" si="48"/>
        <v>78.418661111111106</v>
      </c>
      <c r="AC137" s="83">
        <f t="shared" si="49"/>
        <v>14.376754537037248</v>
      </c>
      <c r="AD137" s="83">
        <f t="shared" si="50"/>
        <v>92.795415648148349</v>
      </c>
      <c r="AF137" s="88">
        <f t="shared" si="35"/>
        <v>0</v>
      </c>
    </row>
    <row r="138" spans="2:32" x14ac:dyDescent="0.25">
      <c r="C138" s="97" t="s">
        <v>227</v>
      </c>
      <c r="D138" s="100"/>
      <c r="J138" s="97" t="s">
        <v>227</v>
      </c>
      <c r="K138" s="100"/>
      <c r="S138" s="97" t="s">
        <v>227</v>
      </c>
      <c r="T138" s="83">
        <f t="shared" si="53"/>
        <v>784.18661111112374</v>
      </c>
      <c r="U138" s="84">
        <f t="shared" si="52"/>
        <v>78.418661111111106</v>
      </c>
      <c r="V138" s="85">
        <f t="shared" si="54"/>
        <v>13.069776851852064</v>
      </c>
      <c r="W138" s="98">
        <f t="shared" si="55"/>
        <v>91.488437962963175</v>
      </c>
      <c r="Z138" s="97" t="s">
        <v>227</v>
      </c>
      <c r="AA138" s="83">
        <f t="shared" si="47"/>
        <v>784.18661111112374</v>
      </c>
      <c r="AB138" s="83">
        <f t="shared" si="48"/>
        <v>78.418661111111106</v>
      </c>
      <c r="AC138" s="83">
        <f t="shared" si="49"/>
        <v>13.069776851852064</v>
      </c>
      <c r="AD138" s="83">
        <f t="shared" si="50"/>
        <v>91.488437962963175</v>
      </c>
      <c r="AF138" s="88">
        <f t="shared" si="35"/>
        <v>0</v>
      </c>
    </row>
    <row r="139" spans="2:32" x14ac:dyDescent="0.25">
      <c r="C139" s="97" t="s">
        <v>228</v>
      </c>
      <c r="D139" s="100"/>
      <c r="J139" s="97" t="s">
        <v>228</v>
      </c>
      <c r="K139" s="100"/>
      <c r="S139" s="97" t="s">
        <v>228</v>
      </c>
      <c r="T139" s="83">
        <f t="shared" si="53"/>
        <v>705.76795000001266</v>
      </c>
      <c r="U139" s="84">
        <f t="shared" si="52"/>
        <v>78.418661111111106</v>
      </c>
      <c r="V139" s="85">
        <f t="shared" si="54"/>
        <v>11.762799166666879</v>
      </c>
      <c r="W139" s="98">
        <f t="shared" si="55"/>
        <v>90.181460277777987</v>
      </c>
      <c r="Z139" s="97" t="s">
        <v>228</v>
      </c>
      <c r="AA139" s="83">
        <f t="shared" si="47"/>
        <v>705.76795000001266</v>
      </c>
      <c r="AB139" s="83">
        <f t="shared" si="48"/>
        <v>78.418661111111106</v>
      </c>
      <c r="AC139" s="83">
        <f t="shared" si="49"/>
        <v>11.762799166666879</v>
      </c>
      <c r="AD139" s="83">
        <f t="shared" si="50"/>
        <v>90.181460277777987</v>
      </c>
      <c r="AF139" s="88">
        <f t="shared" si="35"/>
        <v>0</v>
      </c>
    </row>
    <row r="140" spans="2:32" x14ac:dyDescent="0.25">
      <c r="C140" s="97" t="s">
        <v>229</v>
      </c>
      <c r="D140" s="100"/>
      <c r="J140" s="97" t="s">
        <v>229</v>
      </c>
      <c r="K140" s="100"/>
      <c r="S140" s="97" t="s">
        <v>229</v>
      </c>
      <c r="T140" s="83">
        <f t="shared" si="53"/>
        <v>627.34928888890158</v>
      </c>
      <c r="U140" s="84">
        <f t="shared" si="52"/>
        <v>78.418661111111106</v>
      </c>
      <c r="V140" s="85">
        <f t="shared" si="54"/>
        <v>10.455821481481694</v>
      </c>
      <c r="W140" s="98">
        <f t="shared" si="55"/>
        <v>88.874482592592798</v>
      </c>
      <c r="Z140" s="97" t="s">
        <v>229</v>
      </c>
      <c r="AA140" s="83">
        <f t="shared" si="47"/>
        <v>627.34928888890158</v>
      </c>
      <c r="AB140" s="83">
        <f t="shared" si="48"/>
        <v>78.418661111111106</v>
      </c>
      <c r="AC140" s="83">
        <f t="shared" si="49"/>
        <v>10.455821481481694</v>
      </c>
      <c r="AD140" s="83">
        <f t="shared" si="50"/>
        <v>88.874482592592798</v>
      </c>
      <c r="AF140" s="88">
        <f t="shared" si="35"/>
        <v>0</v>
      </c>
    </row>
    <row r="141" spans="2:32" x14ac:dyDescent="0.25">
      <c r="C141" s="97" t="s">
        <v>230</v>
      </c>
      <c r="D141" s="100"/>
      <c r="J141" s="97" t="s">
        <v>230</v>
      </c>
      <c r="K141" s="100"/>
      <c r="S141" s="97" t="s">
        <v>230</v>
      </c>
      <c r="T141" s="83">
        <f t="shared" si="53"/>
        <v>548.93062777779051</v>
      </c>
      <c r="U141" s="84">
        <f t="shared" si="52"/>
        <v>78.418661111111106</v>
      </c>
      <c r="V141" s="85">
        <f t="shared" si="54"/>
        <v>9.148843796296509</v>
      </c>
      <c r="W141" s="98">
        <f t="shared" si="55"/>
        <v>87.56750490740761</v>
      </c>
      <c r="Z141" s="97" t="s">
        <v>230</v>
      </c>
      <c r="AA141" s="83">
        <f t="shared" si="47"/>
        <v>548.93062777779051</v>
      </c>
      <c r="AB141" s="83">
        <f t="shared" si="48"/>
        <v>78.418661111111106</v>
      </c>
      <c r="AC141" s="83">
        <f t="shared" si="49"/>
        <v>9.148843796296509</v>
      </c>
      <c r="AD141" s="83">
        <f t="shared" si="50"/>
        <v>87.56750490740761</v>
      </c>
      <c r="AF141" s="88">
        <f t="shared" si="35"/>
        <v>0</v>
      </c>
    </row>
    <row r="142" spans="2:32" x14ac:dyDescent="0.25">
      <c r="C142" s="97" t="s">
        <v>231</v>
      </c>
      <c r="D142" s="100"/>
      <c r="J142" s="97" t="s">
        <v>231</v>
      </c>
      <c r="K142" s="100"/>
      <c r="S142" s="97" t="s">
        <v>231</v>
      </c>
      <c r="T142" s="83">
        <f t="shared" si="53"/>
        <v>470.51196666667943</v>
      </c>
      <c r="U142" s="84">
        <f t="shared" si="52"/>
        <v>78.418661111111106</v>
      </c>
      <c r="V142" s="85">
        <f t="shared" si="54"/>
        <v>7.841866111111325</v>
      </c>
      <c r="W142" s="98">
        <f t="shared" si="55"/>
        <v>86.260527222222436</v>
      </c>
      <c r="Z142" s="97" t="s">
        <v>231</v>
      </c>
      <c r="AA142" s="83">
        <f t="shared" si="47"/>
        <v>470.51196666667943</v>
      </c>
      <c r="AB142" s="83">
        <f t="shared" si="48"/>
        <v>78.418661111111106</v>
      </c>
      <c r="AC142" s="83">
        <f t="shared" si="49"/>
        <v>7.841866111111325</v>
      </c>
      <c r="AD142" s="83">
        <f t="shared" si="50"/>
        <v>86.260527222222436</v>
      </c>
      <c r="AF142" s="88">
        <f t="shared" si="35"/>
        <v>0</v>
      </c>
    </row>
    <row r="143" spans="2:32" x14ac:dyDescent="0.25">
      <c r="C143" s="97" t="s">
        <v>232</v>
      </c>
      <c r="D143" s="100"/>
      <c r="J143" s="97" t="s">
        <v>232</v>
      </c>
      <c r="K143" s="100"/>
      <c r="S143" s="97" t="s">
        <v>232</v>
      </c>
      <c r="T143" s="83">
        <f t="shared" si="53"/>
        <v>392.09330555556835</v>
      </c>
      <c r="U143" s="84">
        <f t="shared" si="52"/>
        <v>78.418661111111106</v>
      </c>
      <c r="V143" s="85">
        <f t="shared" si="54"/>
        <v>6.5348884259261402</v>
      </c>
      <c r="W143" s="98">
        <f t="shared" si="55"/>
        <v>84.953549537037247</v>
      </c>
      <c r="Z143" s="97" t="s">
        <v>232</v>
      </c>
      <c r="AA143" s="83">
        <f t="shared" si="47"/>
        <v>392.09330555556835</v>
      </c>
      <c r="AB143" s="83">
        <f t="shared" si="48"/>
        <v>78.418661111111106</v>
      </c>
      <c r="AC143" s="83">
        <f t="shared" si="49"/>
        <v>6.5348884259261402</v>
      </c>
      <c r="AD143" s="83">
        <f t="shared" si="50"/>
        <v>84.953549537037247</v>
      </c>
      <c r="AF143" s="88">
        <f t="shared" si="35"/>
        <v>0</v>
      </c>
    </row>
    <row r="144" spans="2:32" x14ac:dyDescent="0.25">
      <c r="C144" s="97" t="s">
        <v>233</v>
      </c>
      <c r="D144" s="100"/>
      <c r="J144" s="97" t="s">
        <v>233</v>
      </c>
      <c r="K144" s="100"/>
      <c r="S144" s="97" t="s">
        <v>233</v>
      </c>
      <c r="T144" s="83">
        <f t="shared" si="53"/>
        <v>313.67464444445727</v>
      </c>
      <c r="U144" s="84">
        <f t="shared" si="52"/>
        <v>78.418661111111106</v>
      </c>
      <c r="V144" s="85">
        <f t="shared" si="54"/>
        <v>5.2279107407409553</v>
      </c>
      <c r="W144" s="98">
        <f t="shared" si="55"/>
        <v>83.646571851852059</v>
      </c>
      <c r="Z144" s="97" t="s">
        <v>233</v>
      </c>
      <c r="AA144" s="83">
        <f t="shared" si="47"/>
        <v>313.67464444445727</v>
      </c>
      <c r="AB144" s="83">
        <f t="shared" si="48"/>
        <v>78.418661111111106</v>
      </c>
      <c r="AC144" s="83">
        <f t="shared" si="49"/>
        <v>5.2279107407409553</v>
      </c>
      <c r="AD144" s="83">
        <f t="shared" si="50"/>
        <v>83.646571851852059</v>
      </c>
      <c r="AF144" s="88">
        <f t="shared" ref="AF144:AF147" si="56">H144+O144+X144</f>
        <v>0</v>
      </c>
    </row>
    <row r="145" spans="2:33" x14ac:dyDescent="0.25">
      <c r="C145" s="97" t="s">
        <v>234</v>
      </c>
      <c r="D145" s="100"/>
      <c r="J145" s="97" t="s">
        <v>234</v>
      </c>
      <c r="K145" s="100"/>
      <c r="S145" s="97" t="s">
        <v>234</v>
      </c>
      <c r="T145" s="83">
        <f t="shared" si="53"/>
        <v>235.25598333334617</v>
      </c>
      <c r="U145" s="84">
        <f t="shared" si="52"/>
        <v>78.418661111111106</v>
      </c>
      <c r="V145" s="85">
        <f t="shared" si="54"/>
        <v>3.9209330555557695</v>
      </c>
      <c r="W145" s="98">
        <f t="shared" si="55"/>
        <v>82.33959416666687</v>
      </c>
      <c r="Z145" s="97" t="s">
        <v>234</v>
      </c>
      <c r="AA145" s="83">
        <f t="shared" si="47"/>
        <v>235.25598333334617</v>
      </c>
      <c r="AB145" s="83">
        <f t="shared" si="48"/>
        <v>78.418661111111106</v>
      </c>
      <c r="AC145" s="83">
        <f t="shared" si="49"/>
        <v>3.9209330555557695</v>
      </c>
      <c r="AD145" s="83">
        <f t="shared" si="50"/>
        <v>82.33959416666687</v>
      </c>
      <c r="AF145" s="88">
        <f t="shared" si="56"/>
        <v>0</v>
      </c>
    </row>
    <row r="146" spans="2:33" x14ac:dyDescent="0.25">
      <c r="C146" s="97" t="s">
        <v>235</v>
      </c>
      <c r="D146" s="100"/>
      <c r="F146" s="102"/>
      <c r="G146" s="102"/>
      <c r="J146" s="97" t="s">
        <v>235</v>
      </c>
      <c r="K146" s="100"/>
      <c r="M146" s="102"/>
      <c r="N146" s="102"/>
      <c r="O146" s="102"/>
      <c r="S146" s="97" t="s">
        <v>235</v>
      </c>
      <c r="T146" s="83">
        <f t="shared" si="53"/>
        <v>156.83732222223506</v>
      </c>
      <c r="U146" s="84">
        <f t="shared" si="52"/>
        <v>78.418661111111106</v>
      </c>
      <c r="V146" s="85">
        <f t="shared" si="54"/>
        <v>2.6139553703705842</v>
      </c>
      <c r="W146" s="98">
        <f t="shared" si="55"/>
        <v>81.032616481481696</v>
      </c>
      <c r="X146" s="102">
        <f>SUM(V136:V147)</f>
        <v>101.944259444447</v>
      </c>
      <c r="Z146" s="97" t="s">
        <v>235</v>
      </c>
      <c r="AA146" s="83">
        <f t="shared" si="47"/>
        <v>156.83732222223506</v>
      </c>
      <c r="AB146" s="83">
        <f t="shared" si="48"/>
        <v>78.418661111111106</v>
      </c>
      <c r="AC146" s="83">
        <f t="shared" si="49"/>
        <v>2.6139553703705842</v>
      </c>
      <c r="AD146" s="83">
        <f t="shared" si="50"/>
        <v>81.032616481481696</v>
      </c>
      <c r="AE146" s="102">
        <f>SUM(AC136:AC147)</f>
        <v>101.944259444447</v>
      </c>
      <c r="AF146" s="88">
        <f t="shared" si="56"/>
        <v>101.944259444447</v>
      </c>
    </row>
    <row r="147" spans="2:33" x14ac:dyDescent="0.25">
      <c r="C147" s="97" t="s">
        <v>236</v>
      </c>
      <c r="H147" s="88"/>
      <c r="J147" s="97" t="s">
        <v>236</v>
      </c>
      <c r="S147" s="97" t="s">
        <v>236</v>
      </c>
      <c r="T147" s="83">
        <f t="shared" si="53"/>
        <v>78.418661111123953</v>
      </c>
      <c r="U147" s="84">
        <f t="shared" si="52"/>
        <v>78.418661111111106</v>
      </c>
      <c r="V147" s="85">
        <f t="shared" si="54"/>
        <v>1.3069776851853991</v>
      </c>
      <c r="W147" s="98">
        <f t="shared" si="55"/>
        <v>79.725638796296508</v>
      </c>
      <c r="Z147" s="97" t="s">
        <v>236</v>
      </c>
      <c r="AA147" s="83">
        <f t="shared" si="47"/>
        <v>78.418661111123953</v>
      </c>
      <c r="AB147" s="83">
        <f t="shared" si="48"/>
        <v>78.418661111111106</v>
      </c>
      <c r="AC147" s="83">
        <f t="shared" si="49"/>
        <v>1.3069776851853991</v>
      </c>
      <c r="AD147" s="83">
        <f t="shared" si="50"/>
        <v>79.725638796296508</v>
      </c>
      <c r="AF147" s="88">
        <f t="shared" si="56"/>
        <v>0</v>
      </c>
    </row>
    <row r="148" spans="2:33" x14ac:dyDescent="0.25">
      <c r="C148" s="101" t="s">
        <v>0</v>
      </c>
      <c r="D148" s="102"/>
      <c r="E148" s="102">
        <f t="shared" ref="E148:S148" si="57">SUM(E4:E147)</f>
        <v>49671.903000000231</v>
      </c>
      <c r="F148" s="102">
        <f t="shared" si="57"/>
        <v>55585.835524999951</v>
      </c>
      <c r="G148" s="102">
        <f t="shared" si="57"/>
        <v>105257.73852500001</v>
      </c>
      <c r="H148" s="102">
        <f>SUM(H4:H147)</f>
        <v>55585.835524999959</v>
      </c>
      <c r="I148" s="102"/>
      <c r="J148" s="102">
        <f t="shared" si="57"/>
        <v>0</v>
      </c>
      <c r="K148" s="102"/>
      <c r="L148" s="102">
        <f t="shared" si="57"/>
        <v>11913.603999999976</v>
      </c>
      <c r="M148" s="102">
        <f t="shared" si="57"/>
        <v>12012.884033333377</v>
      </c>
      <c r="N148" s="102">
        <f t="shared" si="57"/>
        <v>23926.488033333371</v>
      </c>
      <c r="O148" s="102">
        <f t="shared" si="57"/>
        <v>12012.884033333376</v>
      </c>
      <c r="P148" s="102"/>
      <c r="Q148" s="102"/>
      <c r="R148" s="102"/>
      <c r="S148" s="102">
        <f t="shared" si="57"/>
        <v>0</v>
      </c>
      <c r="T148" s="102"/>
      <c r="U148" s="102">
        <f>SUM(U4:U147)</f>
        <v>9410.2393333333202</v>
      </c>
      <c r="V148" s="102">
        <f t="shared" ref="V148:W148" si="58">SUM(V4:V147)</f>
        <v>9488.6579944444638</v>
      </c>
      <c r="W148" s="102">
        <f t="shared" si="58"/>
        <v>18898.897327777802</v>
      </c>
      <c r="Z148" s="101" t="s">
        <v>0</v>
      </c>
      <c r="AB148" s="102">
        <f>SUM(AB4:AB147)</f>
        <v>70995.74633333346</v>
      </c>
      <c r="AC148" s="102">
        <f>SUM(AC4:AC147)</f>
        <v>77087.377552777791</v>
      </c>
      <c r="AD148" s="102">
        <f>SUM(AD4:AD147)</f>
        <v>148083.12388611122</v>
      </c>
      <c r="AE148" s="102">
        <f t="shared" ref="AE148:AG148" si="59">SUM(AE4:AE147)</f>
        <v>77087.377552777791</v>
      </c>
      <c r="AF148" s="102">
        <f t="shared" si="59"/>
        <v>77087.377552777791</v>
      </c>
      <c r="AG148" s="102">
        <f t="shared" si="59"/>
        <v>0</v>
      </c>
    </row>
    <row r="149" spans="2:33" s="104" customFormat="1" x14ac:dyDescent="0.25">
      <c r="C149" s="105"/>
      <c r="H149" s="106"/>
      <c r="Z149" s="105"/>
      <c r="AB149" s="106"/>
      <c r="AC149" s="106"/>
      <c r="AD149" s="106"/>
    </row>
    <row r="150" spans="2:33" s="104" customFormat="1" x14ac:dyDescent="0.25">
      <c r="C150" s="105"/>
      <c r="H150" s="106"/>
      <c r="Z150" s="105"/>
      <c r="AB150" s="106"/>
      <c r="AC150" s="106"/>
      <c r="AD150" s="106"/>
    </row>
    <row r="151" spans="2:33" x14ac:dyDescent="0.25">
      <c r="C151" s="97"/>
      <c r="D151">
        <f t="shared" ref="D151" si="60">C151+1</f>
        <v>1</v>
      </c>
      <c r="E151">
        <f t="shared" ref="E151" si="61">D151+1</f>
        <v>2</v>
      </c>
      <c r="F151">
        <f t="shared" ref="F151" si="62">E151+1</f>
        <v>3</v>
      </c>
      <c r="G151">
        <f t="shared" ref="G151" si="63">F151+1</f>
        <v>4</v>
      </c>
      <c r="H151">
        <f t="shared" ref="H151:O151" si="64">G151+1</f>
        <v>5</v>
      </c>
      <c r="J151">
        <f t="shared" si="64"/>
        <v>1</v>
      </c>
      <c r="K151">
        <f t="shared" si="64"/>
        <v>2</v>
      </c>
      <c r="L151">
        <f t="shared" si="64"/>
        <v>3</v>
      </c>
      <c r="M151">
        <f t="shared" si="64"/>
        <v>4</v>
      </c>
      <c r="N151">
        <f t="shared" si="64"/>
        <v>5</v>
      </c>
      <c r="O151">
        <f t="shared" si="64"/>
        <v>6</v>
      </c>
      <c r="S151">
        <f t="shared" ref="S151" si="65">R151+1</f>
        <v>1</v>
      </c>
      <c r="T151">
        <f t="shared" ref="T151" si="66">S151+1</f>
        <v>2</v>
      </c>
      <c r="U151">
        <f t="shared" ref="U151" si="67">T151+1</f>
        <v>3</v>
      </c>
      <c r="V151">
        <f t="shared" ref="V151" si="68">U151+1</f>
        <v>4</v>
      </c>
      <c r="W151">
        <f t="shared" ref="W151:X151" si="69">V151+1</f>
        <v>5</v>
      </c>
      <c r="X151">
        <f t="shared" si="69"/>
        <v>6</v>
      </c>
      <c r="Z151" s="97"/>
      <c r="AA151">
        <v>2027</v>
      </c>
      <c r="AB151">
        <f>AA151+1</f>
        <v>2028</v>
      </c>
      <c r="AC151">
        <f t="shared" ref="AC151:AE151" si="70">AB151+1</f>
        <v>2029</v>
      </c>
      <c r="AD151">
        <f t="shared" si="70"/>
        <v>2030</v>
      </c>
      <c r="AE151">
        <f t="shared" si="70"/>
        <v>2031</v>
      </c>
    </row>
    <row r="152" spans="2:33" x14ac:dyDescent="0.25">
      <c r="B152" s="88">
        <f>H15</f>
        <v>15204.054822500004</v>
      </c>
      <c r="C152" s="88">
        <f>H27+O15</f>
        <v>12615.718803316338</v>
      </c>
      <c r="D152" s="100">
        <f>A123+H111</f>
        <v>1323.8972812754944</v>
      </c>
      <c r="E152" s="88">
        <f>A135</f>
        <v>0</v>
      </c>
      <c r="F152" s="88">
        <f>A147</f>
        <v>0</v>
      </c>
      <c r="G152" s="88" t="e">
        <f>#REF!+#REF!+#REF!</f>
        <v>#REF!</v>
      </c>
      <c r="H152" s="88">
        <f>H87+O75</f>
        <v>4361.8100895067955</v>
      </c>
      <c r="I152" s="88">
        <f>O15</f>
        <v>0</v>
      </c>
      <c r="J152" s="88">
        <f>H111+O99</f>
        <v>2167.7775646088326</v>
      </c>
      <c r="K152" s="100">
        <f>H123+O111</f>
        <v>1070.7613021598513</v>
      </c>
      <c r="L152" s="88">
        <f>H135</f>
        <v>0</v>
      </c>
      <c r="M152" s="88">
        <f>H147</f>
        <v>0</v>
      </c>
      <c r="N152" s="88" t="e">
        <f>#REF!+#REF!+#REF!</f>
        <v>#REF!</v>
      </c>
      <c r="O152" s="88" t="e">
        <f>#REF!+#REF!</f>
        <v>#REF!</v>
      </c>
      <c r="R152" s="88">
        <f>X15</f>
        <v>0</v>
      </c>
      <c r="S152" s="88">
        <f>P111+X99</f>
        <v>854.76340611111448</v>
      </c>
      <c r="T152" s="100">
        <f>P123+X111</f>
        <v>666.55861944444746</v>
      </c>
      <c r="U152" s="88">
        <f>P135</f>
        <v>0</v>
      </c>
      <c r="V152" s="88">
        <f>P147</f>
        <v>0</v>
      </c>
      <c r="W152" s="88" t="e">
        <f>#REF!+#REF!+#REF!</f>
        <v>#REF!</v>
      </c>
      <c r="X152" s="88" t="e">
        <f>#REF!+#REF!</f>
        <v>#REF!</v>
      </c>
      <c r="Y152" s="88">
        <f>AE15</f>
        <v>15204.054822500004</v>
      </c>
      <c r="Z152" s="88">
        <f>AE27+AL15</f>
        <v>14889.231566649671</v>
      </c>
      <c r="AA152" s="100">
        <f>AE39+AL27</f>
        <v>10307.39039874718</v>
      </c>
      <c r="AB152" s="88">
        <f>AE51+AL39</f>
        <v>9022.1693496315293</v>
      </c>
      <c r="AC152" s="88">
        <f>AE63+AL51</f>
        <v>7736.9483005158781</v>
      </c>
      <c r="AD152" s="88">
        <f>AE75+AL63</f>
        <v>6451.727251400227</v>
      </c>
      <c r="AE152" s="88" t="e">
        <f>#REF!+#REF!</f>
        <v>#REF!</v>
      </c>
    </row>
    <row r="153" spans="2:33" x14ac:dyDescent="0.25">
      <c r="D153" s="100"/>
      <c r="F153" s="88" t="e">
        <f>SUM(#REF!)</f>
        <v>#REF!</v>
      </c>
      <c r="K153" s="100"/>
      <c r="M153" s="88" t="e">
        <f>SUM(C152:M152)</f>
        <v>#REF!</v>
      </c>
      <c r="T153" s="100"/>
      <c r="V153" s="88" t="e">
        <f>SUM(K152:V152)</f>
        <v>#REF!</v>
      </c>
      <c r="AA153" s="100"/>
    </row>
    <row r="154" spans="2:33" x14ac:dyDescent="0.25">
      <c r="D154" s="100"/>
      <c r="K154" s="100"/>
      <c r="T154" s="100"/>
      <c r="AA154" s="100"/>
    </row>
    <row r="155" spans="2:33" x14ac:dyDescent="0.25">
      <c r="B155" s="102" t="e">
        <f>E136+L136+#REF!+#REF!+#REF!+#REF!</f>
        <v>#REF!</v>
      </c>
      <c r="D155" s="100"/>
      <c r="I155" s="102" t="e">
        <f>L136+T136+#REF!+#REF!+#REF!+#REF!</f>
        <v>#REF!</v>
      </c>
      <c r="K155" s="100"/>
      <c r="R155" s="102" t="e">
        <f>U136+AC136+#REF!+#REF!+#REF!+#REF!</f>
        <v>#REF!</v>
      </c>
      <c r="T155" s="100"/>
      <c r="Y155" s="102" t="e">
        <f>AB136+AI136+#REF!+#REF!+#REF!+#REF!</f>
        <v>#REF!</v>
      </c>
      <c r="AA155" s="100"/>
    </row>
    <row r="156" spans="2:33" x14ac:dyDescent="0.25">
      <c r="B156" s="102" t="e">
        <f>#REF!</f>
        <v>#REF!</v>
      </c>
      <c r="D156" s="100"/>
      <c r="I156" s="102" t="e">
        <f>#REF!</f>
        <v>#REF!</v>
      </c>
      <c r="K156" s="100"/>
      <c r="R156" s="102" t="e">
        <f>#REF!</f>
        <v>#REF!</v>
      </c>
      <c r="T156" s="100"/>
      <c r="Y156" s="102" t="e">
        <f>#REF!</f>
        <v>#REF!</v>
      </c>
      <c r="AA156" s="100"/>
    </row>
    <row r="157" spans="2:33" x14ac:dyDescent="0.25">
      <c r="B157" s="102" t="e">
        <f>SUM(B155:B156)</f>
        <v>#REF!</v>
      </c>
      <c r="D157" s="100"/>
      <c r="I157" s="102" t="e">
        <f>SUM(I155:I156)</f>
        <v>#REF!</v>
      </c>
      <c r="K157" s="100"/>
      <c r="R157" s="102" t="e">
        <f>SUM(R155:R156)</f>
        <v>#REF!</v>
      </c>
      <c r="T157" s="100"/>
      <c r="Y157" s="102" t="e">
        <f>SUM(Y155:Y156)</f>
        <v>#REF!</v>
      </c>
      <c r="AA157" s="100"/>
    </row>
    <row r="158" spans="2:33" x14ac:dyDescent="0.25">
      <c r="B158" s="103"/>
      <c r="D158" s="100"/>
      <c r="I158" s="103"/>
      <c r="K158" s="100"/>
      <c r="R158" s="103"/>
      <c r="T158" s="100"/>
      <c r="Y158" s="103"/>
      <c r="AA158" s="100"/>
    </row>
    <row r="159" spans="2:33" x14ac:dyDescent="0.25">
      <c r="D159" s="100"/>
      <c r="K159" s="100"/>
      <c r="T159" s="100"/>
      <c r="AA159" s="100"/>
    </row>
    <row r="160" spans="2:33" x14ac:dyDescent="0.25">
      <c r="D160" s="100"/>
      <c r="K160" s="100"/>
      <c r="T160" s="100"/>
      <c r="AA160" s="100"/>
    </row>
    <row r="161" spans="4:27" x14ac:dyDescent="0.25">
      <c r="D161" s="100"/>
      <c r="E161" s="143" t="s">
        <v>260</v>
      </c>
      <c r="K161" s="100"/>
      <c r="L161" s="143" t="s">
        <v>260</v>
      </c>
      <c r="T161" s="100"/>
      <c r="U161" s="143" t="s">
        <v>260</v>
      </c>
      <c r="AA161" s="100"/>
    </row>
    <row r="162" spans="4:27" x14ac:dyDescent="0.25">
      <c r="D162" s="100"/>
      <c r="E162" s="143" t="s">
        <v>261</v>
      </c>
      <c r="K162" s="100"/>
      <c r="L162" s="143" t="s">
        <v>261</v>
      </c>
      <c r="T162" s="100"/>
      <c r="U162" s="143" t="s">
        <v>261</v>
      </c>
      <c r="AA162" s="100"/>
    </row>
    <row r="163" spans="4:27" x14ac:dyDescent="0.25">
      <c r="D163" s="100"/>
      <c r="E163" s="143" t="s">
        <v>261</v>
      </c>
      <c r="K163" s="100"/>
      <c r="L163" s="143" t="s">
        <v>261</v>
      </c>
      <c r="T163" s="100"/>
      <c r="U163" s="143" t="s">
        <v>261</v>
      </c>
      <c r="AA163" s="100"/>
    </row>
    <row r="164" spans="4:27" x14ac:dyDescent="0.25">
      <c r="D164" s="100"/>
      <c r="E164" s="143" t="s">
        <v>262</v>
      </c>
      <c r="K164" s="100"/>
      <c r="L164" s="143" t="s">
        <v>262</v>
      </c>
      <c r="T164" s="100"/>
      <c r="U164" s="143" t="s">
        <v>262</v>
      </c>
      <c r="AA164" s="100"/>
    </row>
    <row r="165" spans="4:27" x14ac:dyDescent="0.25">
      <c r="D165" s="100"/>
      <c r="E165" s="143" t="s">
        <v>263</v>
      </c>
      <c r="K165" s="100"/>
      <c r="L165" s="143" t="s">
        <v>263</v>
      </c>
      <c r="T165" s="100"/>
      <c r="U165" s="143" t="s">
        <v>263</v>
      </c>
      <c r="AA165" s="100"/>
    </row>
    <row r="166" spans="4:27" x14ac:dyDescent="0.25">
      <c r="D166" s="100"/>
      <c r="K166" s="100"/>
      <c r="T166" s="100"/>
      <c r="AA166" s="100"/>
    </row>
    <row r="167" spans="4:27" x14ac:dyDescent="0.25">
      <c r="D167" s="100"/>
      <c r="K167" s="100"/>
      <c r="T167" s="100"/>
      <c r="AA167" s="100"/>
    </row>
    <row r="168" spans="4:27" x14ac:dyDescent="0.25">
      <c r="D168" s="100"/>
      <c r="K168" s="100"/>
      <c r="T168" s="100"/>
      <c r="AA168" s="100"/>
    </row>
    <row r="169" spans="4:27" x14ac:dyDescent="0.25">
      <c r="D169" s="100"/>
      <c r="K169" s="100"/>
      <c r="T169" s="100"/>
      <c r="AA169" s="100"/>
    </row>
    <row r="170" spans="4:27" x14ac:dyDescent="0.25">
      <c r="D170" s="100"/>
      <c r="K170" s="100"/>
      <c r="T170" s="100"/>
      <c r="AA170" s="100"/>
    </row>
    <row r="171" spans="4:27" x14ac:dyDescent="0.25">
      <c r="D171" s="100"/>
      <c r="K171" s="100"/>
      <c r="T171" s="100"/>
      <c r="AA171" s="100"/>
    </row>
    <row r="172" spans="4:27" x14ac:dyDescent="0.25">
      <c r="D172" s="100"/>
      <c r="K172" s="100"/>
      <c r="T172" s="100"/>
      <c r="AA172" s="100"/>
    </row>
    <row r="173" spans="4:27" x14ac:dyDescent="0.25">
      <c r="D173" s="100"/>
      <c r="K173" s="100"/>
      <c r="T173" s="100"/>
      <c r="AA173" s="100"/>
    </row>
    <row r="174" spans="4:27" x14ac:dyDescent="0.25">
      <c r="D174" s="100"/>
      <c r="K174" s="100"/>
      <c r="T174" s="100"/>
      <c r="AA174" s="100"/>
    </row>
    <row r="175" spans="4:27" x14ac:dyDescent="0.25">
      <c r="D175" s="100"/>
      <c r="K175" s="100"/>
      <c r="T175" s="100"/>
      <c r="AA175" s="100"/>
    </row>
    <row r="176" spans="4:27" x14ac:dyDescent="0.25">
      <c r="D176" s="100"/>
      <c r="K176" s="100"/>
      <c r="T176" s="100"/>
      <c r="AA176" s="100"/>
    </row>
    <row r="177" spans="4:27" x14ac:dyDescent="0.25">
      <c r="D177" s="100"/>
      <c r="K177" s="100"/>
      <c r="T177" s="100"/>
      <c r="AA177" s="100"/>
    </row>
    <row r="178" spans="4:27" x14ac:dyDescent="0.25">
      <c r="D178" s="100"/>
      <c r="K178" s="100"/>
      <c r="T178" s="100"/>
      <c r="AA178" s="100"/>
    </row>
    <row r="179" spans="4:27" x14ac:dyDescent="0.25">
      <c r="D179" s="100"/>
      <c r="K179" s="100"/>
      <c r="T179" s="100"/>
      <c r="AA179" s="100"/>
    </row>
    <row r="180" spans="4:27" x14ac:dyDescent="0.25">
      <c r="D180" s="100"/>
      <c r="K180" s="100"/>
      <c r="T180" s="100"/>
      <c r="AA180" s="100"/>
    </row>
    <row r="181" spans="4:27" x14ac:dyDescent="0.25">
      <c r="D181" s="100"/>
      <c r="K181" s="100"/>
      <c r="T181" s="100"/>
      <c r="AA181" s="100"/>
    </row>
    <row r="182" spans="4:27" x14ac:dyDescent="0.25">
      <c r="D182" s="100"/>
      <c r="K182" s="100"/>
      <c r="T182" s="100"/>
      <c r="AA182" s="100"/>
    </row>
    <row r="183" spans="4:27" x14ac:dyDescent="0.25">
      <c r="D183" s="100"/>
      <c r="K183" s="100"/>
      <c r="T183" s="100"/>
      <c r="AA183" s="100"/>
    </row>
    <row r="184" spans="4:27" x14ac:dyDescent="0.25">
      <c r="D184" s="100"/>
      <c r="K184" s="100"/>
      <c r="T184" s="100"/>
      <c r="AA184" s="100"/>
    </row>
    <row r="185" spans="4:27" x14ac:dyDescent="0.25">
      <c r="D185" s="100"/>
      <c r="K185" s="100"/>
      <c r="T185" s="100"/>
      <c r="AA185" s="100"/>
    </row>
    <row r="186" spans="4:27" x14ac:dyDescent="0.25">
      <c r="D186" s="100"/>
      <c r="K186" s="100"/>
      <c r="T186" s="100"/>
      <c r="AA186" s="100"/>
    </row>
    <row r="187" spans="4:27" x14ac:dyDescent="0.25">
      <c r="D187" s="100"/>
      <c r="K187" s="100"/>
      <c r="T187" s="100"/>
      <c r="AA187" s="100"/>
    </row>
    <row r="188" spans="4:27" x14ac:dyDescent="0.25">
      <c r="D188" s="100"/>
      <c r="K188" s="100"/>
      <c r="T188" s="100"/>
      <c r="AA188" s="100"/>
    </row>
    <row r="189" spans="4:27" x14ac:dyDescent="0.25">
      <c r="D189" s="100"/>
      <c r="K189" s="100"/>
      <c r="T189" s="100"/>
      <c r="AA189" s="100"/>
    </row>
    <row r="190" spans="4:27" x14ac:dyDescent="0.25">
      <c r="D190" s="100"/>
      <c r="K190" s="100"/>
      <c r="T190" s="100"/>
      <c r="AA190" s="100"/>
    </row>
    <row r="191" spans="4:27" x14ac:dyDescent="0.25">
      <c r="D191" s="100"/>
      <c r="K191" s="100"/>
      <c r="T191" s="100"/>
      <c r="AA191" s="100"/>
    </row>
    <row r="192" spans="4:27" x14ac:dyDescent="0.25">
      <c r="D192" s="100"/>
      <c r="K192" s="100"/>
      <c r="T192" s="100"/>
      <c r="AA192" s="100"/>
    </row>
    <row r="193" spans="4:27" x14ac:dyDescent="0.25">
      <c r="D193" s="100"/>
      <c r="K193" s="100"/>
      <c r="T193" s="100"/>
      <c r="AA193" s="100"/>
    </row>
    <row r="194" spans="4:27" x14ac:dyDescent="0.25">
      <c r="D194" s="100"/>
      <c r="K194" s="100"/>
      <c r="T194" s="100"/>
      <c r="AA194" s="100"/>
    </row>
    <row r="195" spans="4:27" x14ac:dyDescent="0.25">
      <c r="D195" s="100"/>
      <c r="K195" s="100"/>
      <c r="T195" s="100"/>
      <c r="AA195" s="100"/>
    </row>
    <row r="196" spans="4:27" x14ac:dyDescent="0.25">
      <c r="D196" s="100"/>
      <c r="K196" s="100"/>
      <c r="T196" s="100"/>
      <c r="AA196" s="100"/>
    </row>
    <row r="197" spans="4:27" x14ac:dyDescent="0.25">
      <c r="D197" s="100"/>
      <c r="K197" s="100"/>
      <c r="T197" s="100"/>
      <c r="AA197" s="100"/>
    </row>
    <row r="198" spans="4:27" x14ac:dyDescent="0.25">
      <c r="D198" s="100"/>
      <c r="K198" s="100"/>
      <c r="T198" s="100"/>
      <c r="AA198" s="100"/>
    </row>
    <row r="199" spans="4:27" x14ac:dyDescent="0.25">
      <c r="D199" s="100"/>
      <c r="K199" s="100"/>
      <c r="T199" s="100"/>
      <c r="AA199" s="100"/>
    </row>
    <row r="200" spans="4:27" x14ac:dyDescent="0.25">
      <c r="D200" s="100"/>
      <c r="K200" s="100"/>
      <c r="T200" s="100"/>
      <c r="AA200" s="100"/>
    </row>
    <row r="201" spans="4:27" x14ac:dyDescent="0.25">
      <c r="D201" s="100"/>
      <c r="K201" s="100"/>
      <c r="T201" s="100"/>
      <c r="AA201" s="100"/>
    </row>
    <row r="202" spans="4:27" x14ac:dyDescent="0.25">
      <c r="D202" s="100"/>
      <c r="K202" s="100"/>
      <c r="T202" s="100"/>
      <c r="AA202" s="100"/>
    </row>
    <row r="203" spans="4:27" x14ac:dyDescent="0.25">
      <c r="D203" s="100"/>
      <c r="K203" s="100"/>
      <c r="T203" s="100"/>
      <c r="AA203" s="100"/>
    </row>
    <row r="204" spans="4:27" x14ac:dyDescent="0.25">
      <c r="D204" s="100"/>
      <c r="K204" s="100"/>
      <c r="T204" s="100"/>
      <c r="AA204" s="100"/>
    </row>
    <row r="205" spans="4:27" x14ac:dyDescent="0.25">
      <c r="D205" s="100"/>
      <c r="K205" s="100"/>
      <c r="T205" s="100"/>
      <c r="AA205" s="100"/>
    </row>
    <row r="206" spans="4:27" x14ac:dyDescent="0.25">
      <c r="D206" s="100"/>
      <c r="K206" s="100"/>
      <c r="T206" s="100"/>
      <c r="AA206" s="100"/>
    </row>
    <row r="207" spans="4:27" x14ac:dyDescent="0.25">
      <c r="D207" s="100"/>
      <c r="K207" s="100"/>
      <c r="T207" s="100"/>
      <c r="AA207" s="100"/>
    </row>
    <row r="208" spans="4:27" x14ac:dyDescent="0.25">
      <c r="D208" s="100"/>
      <c r="K208" s="100"/>
      <c r="T208" s="100"/>
      <c r="AA208" s="100"/>
    </row>
    <row r="209" spans="4:27" x14ac:dyDescent="0.25">
      <c r="D209" s="100"/>
      <c r="K209" s="100"/>
      <c r="T209" s="100"/>
      <c r="AA209" s="100"/>
    </row>
    <row r="210" spans="4:27" x14ac:dyDescent="0.25">
      <c r="D210" s="100"/>
      <c r="K210" s="100"/>
      <c r="T210" s="100"/>
      <c r="AA210" s="100"/>
    </row>
    <row r="211" spans="4:27" x14ac:dyDescent="0.25">
      <c r="D211" s="100"/>
      <c r="K211" s="100"/>
      <c r="T211" s="100"/>
      <c r="AA211" s="100"/>
    </row>
    <row r="212" spans="4:27" x14ac:dyDescent="0.25">
      <c r="D212" s="100"/>
      <c r="K212" s="100"/>
      <c r="T212" s="100"/>
      <c r="AA212" s="100"/>
    </row>
    <row r="213" spans="4:27" x14ac:dyDescent="0.25">
      <c r="D213" s="100"/>
      <c r="K213" s="100"/>
      <c r="T213" s="100"/>
      <c r="AA213" s="100"/>
    </row>
    <row r="214" spans="4:27" x14ac:dyDescent="0.25">
      <c r="D214" s="100"/>
      <c r="K214" s="100"/>
      <c r="T214" s="100"/>
      <c r="AA214" s="100"/>
    </row>
    <row r="215" spans="4:27" x14ac:dyDescent="0.25">
      <c r="D215" s="100"/>
      <c r="K215" s="100"/>
      <c r="T215" s="100"/>
      <c r="AA215" s="100"/>
    </row>
    <row r="216" spans="4:27" x14ac:dyDescent="0.25">
      <c r="D216" s="100"/>
      <c r="K216" s="100"/>
      <c r="T216" s="100"/>
      <c r="AA216" s="100"/>
    </row>
    <row r="217" spans="4:27" x14ac:dyDescent="0.25">
      <c r="D217" s="100"/>
      <c r="K217" s="100"/>
      <c r="T217" s="100"/>
      <c r="AA217" s="100"/>
    </row>
    <row r="218" spans="4:27" x14ac:dyDescent="0.25">
      <c r="D218" s="100"/>
      <c r="K218" s="100"/>
      <c r="T218" s="100"/>
      <c r="AA218" s="100"/>
    </row>
    <row r="219" spans="4:27" x14ac:dyDescent="0.25">
      <c r="D219" s="100"/>
      <c r="K219" s="100"/>
      <c r="T219" s="100"/>
      <c r="AA219" s="100"/>
    </row>
    <row r="220" spans="4:27" x14ac:dyDescent="0.25">
      <c r="D220" s="100"/>
      <c r="K220" s="100"/>
      <c r="T220" s="100"/>
      <c r="AA220" s="100"/>
    </row>
    <row r="221" spans="4:27" x14ac:dyDescent="0.25">
      <c r="D221" s="100"/>
      <c r="K221" s="100"/>
      <c r="T221" s="100"/>
      <c r="AA221" s="100"/>
    </row>
    <row r="222" spans="4:27" x14ac:dyDescent="0.25">
      <c r="D222" s="100"/>
      <c r="K222" s="100"/>
      <c r="T222" s="100"/>
      <c r="AA222" s="100"/>
    </row>
    <row r="223" spans="4:27" x14ac:dyDescent="0.25">
      <c r="D223" s="100"/>
      <c r="K223" s="100"/>
      <c r="T223" s="100"/>
      <c r="AA223" s="100"/>
    </row>
    <row r="224" spans="4:27" x14ac:dyDescent="0.25">
      <c r="D224" s="100"/>
      <c r="K224" s="100"/>
      <c r="T224" s="100"/>
      <c r="AA224" s="100"/>
    </row>
    <row r="225" spans="4:27" x14ac:dyDescent="0.25">
      <c r="D225" s="100"/>
      <c r="K225" s="100"/>
      <c r="T225" s="100"/>
      <c r="AA225" s="100"/>
    </row>
    <row r="226" spans="4:27" x14ac:dyDescent="0.25">
      <c r="D226" s="100"/>
      <c r="K226" s="100"/>
      <c r="T226" s="100"/>
      <c r="AA226" s="100"/>
    </row>
    <row r="227" spans="4:27" x14ac:dyDescent="0.25">
      <c r="D227" s="100"/>
      <c r="K227" s="100"/>
      <c r="T227" s="100"/>
      <c r="AA227" s="100"/>
    </row>
    <row r="228" spans="4:27" x14ac:dyDescent="0.25">
      <c r="D228" s="100"/>
      <c r="K228" s="100"/>
      <c r="T228" s="100"/>
      <c r="AA228" s="100"/>
    </row>
    <row r="229" spans="4:27" x14ac:dyDescent="0.25">
      <c r="D229" s="100"/>
      <c r="K229" s="100"/>
      <c r="T229" s="100"/>
      <c r="AA229" s="100"/>
    </row>
    <row r="230" spans="4:27" x14ac:dyDescent="0.25">
      <c r="D230" s="100"/>
      <c r="K230" s="100"/>
      <c r="T230" s="100"/>
      <c r="AA230" s="100"/>
    </row>
    <row r="231" spans="4:27" x14ac:dyDescent="0.25">
      <c r="D231" s="100"/>
      <c r="K231" s="100"/>
      <c r="T231" s="100"/>
      <c r="AA231" s="100"/>
    </row>
    <row r="232" spans="4:27" x14ac:dyDescent="0.25">
      <c r="D232" s="100"/>
      <c r="K232" s="100"/>
      <c r="T232" s="100"/>
      <c r="AA232" s="100"/>
    </row>
    <row r="233" spans="4:27" x14ac:dyDescent="0.25">
      <c r="D233" s="100"/>
      <c r="K233" s="100"/>
      <c r="T233" s="100"/>
      <c r="AA233" s="100"/>
    </row>
    <row r="234" spans="4:27" x14ac:dyDescent="0.25">
      <c r="D234" s="100"/>
      <c r="K234" s="100"/>
      <c r="T234" s="100"/>
      <c r="AA234" s="100"/>
    </row>
    <row r="235" spans="4:27" x14ac:dyDescent="0.25">
      <c r="D235" s="100"/>
      <c r="K235" s="100"/>
      <c r="T235" s="100"/>
      <c r="AA235" s="100"/>
    </row>
    <row r="236" spans="4:27" x14ac:dyDescent="0.25">
      <c r="D236" s="100"/>
      <c r="K236" s="100"/>
      <c r="T236" s="100"/>
      <c r="AA236" s="100"/>
    </row>
    <row r="237" spans="4:27" x14ac:dyDescent="0.25">
      <c r="D237" s="100"/>
      <c r="K237" s="100"/>
      <c r="T237" s="100"/>
      <c r="AA237" s="100"/>
    </row>
    <row r="238" spans="4:27" x14ac:dyDescent="0.25">
      <c r="D238" s="100"/>
      <c r="K238" s="100"/>
      <c r="T238" s="100"/>
      <c r="AA238" s="100"/>
    </row>
    <row r="239" spans="4:27" x14ac:dyDescent="0.25">
      <c r="D239" s="100"/>
      <c r="K239" s="100"/>
      <c r="T239" s="100"/>
      <c r="AA239" s="100"/>
    </row>
    <row r="240" spans="4:27" x14ac:dyDescent="0.25">
      <c r="D240" s="100"/>
      <c r="K240" s="100"/>
      <c r="T240" s="100"/>
      <c r="AA240" s="100"/>
    </row>
    <row r="241" spans="4:27" x14ac:dyDescent="0.25">
      <c r="D241" s="100"/>
      <c r="K241" s="100"/>
      <c r="T241" s="100"/>
      <c r="AA241" s="100"/>
    </row>
    <row r="242" spans="4:27" x14ac:dyDescent="0.25">
      <c r="D242" s="100"/>
      <c r="K242" s="100"/>
      <c r="T242" s="100"/>
      <c r="AA242" s="100"/>
    </row>
    <row r="243" spans="4:27" x14ac:dyDescent="0.25">
      <c r="D243" s="100"/>
      <c r="K243" s="100"/>
      <c r="T243" s="100"/>
      <c r="AA243" s="100"/>
    </row>
    <row r="244" spans="4:27" x14ac:dyDescent="0.25">
      <c r="D244" s="100"/>
      <c r="K244" s="100"/>
      <c r="T244" s="100"/>
      <c r="AA244" s="100"/>
    </row>
    <row r="245" spans="4:27" x14ac:dyDescent="0.25">
      <c r="D245" s="100"/>
      <c r="K245" s="100"/>
      <c r="T245" s="100"/>
      <c r="AA245" s="100"/>
    </row>
    <row r="246" spans="4:27" x14ac:dyDescent="0.25">
      <c r="D246" s="100"/>
      <c r="K246" s="100"/>
      <c r="T246" s="100"/>
      <c r="AA246" s="100"/>
    </row>
    <row r="247" spans="4:27" x14ac:dyDescent="0.25">
      <c r="D247" s="100"/>
      <c r="K247" s="100"/>
      <c r="T247" s="100"/>
      <c r="AA247" s="100"/>
    </row>
    <row r="248" spans="4:27" x14ac:dyDescent="0.25">
      <c r="D248" s="100"/>
      <c r="K248" s="100"/>
      <c r="T248" s="100"/>
      <c r="AA248" s="100"/>
    </row>
    <row r="249" spans="4:27" x14ac:dyDescent="0.25">
      <c r="D249" s="100"/>
      <c r="K249" s="100"/>
      <c r="T249" s="100"/>
      <c r="AA249" s="100"/>
    </row>
    <row r="250" spans="4:27" x14ac:dyDescent="0.25">
      <c r="D250" s="100"/>
      <c r="K250" s="100"/>
      <c r="T250" s="100"/>
      <c r="AA250" s="100"/>
    </row>
    <row r="251" spans="4:27" x14ac:dyDescent="0.25">
      <c r="D251" s="100"/>
      <c r="K251" s="100"/>
      <c r="T251" s="100"/>
      <c r="AA251" s="100"/>
    </row>
    <row r="252" spans="4:27" x14ac:dyDescent="0.25">
      <c r="D252" s="100"/>
      <c r="K252" s="100"/>
      <c r="T252" s="100"/>
      <c r="AA252" s="100"/>
    </row>
    <row r="253" spans="4:27" x14ac:dyDescent="0.25">
      <c r="D253" s="100"/>
      <c r="K253" s="100"/>
      <c r="T253" s="100"/>
      <c r="AA253" s="100"/>
    </row>
    <row r="254" spans="4:27" x14ac:dyDescent="0.25">
      <c r="D254" s="100"/>
      <c r="K254" s="100"/>
      <c r="T254" s="100"/>
      <c r="AA254" s="100"/>
    </row>
    <row r="255" spans="4:27" x14ac:dyDescent="0.25">
      <c r="D255" s="100"/>
      <c r="K255" s="100"/>
      <c r="T255" s="100"/>
      <c r="AA255" s="100"/>
    </row>
    <row r="256" spans="4:27" x14ac:dyDescent="0.25">
      <c r="D256" s="100"/>
      <c r="K256" s="100"/>
      <c r="T256" s="100"/>
      <c r="AA256" s="100"/>
    </row>
    <row r="257" spans="4:27" x14ac:dyDescent="0.25">
      <c r="D257" s="100"/>
      <c r="K257" s="100"/>
      <c r="T257" s="100"/>
      <c r="AA257" s="100"/>
    </row>
    <row r="258" spans="4:27" x14ac:dyDescent="0.25">
      <c r="D258" s="100"/>
      <c r="K258" s="100"/>
      <c r="T258" s="100"/>
      <c r="AA258" s="100"/>
    </row>
    <row r="259" spans="4:27" x14ac:dyDescent="0.25">
      <c r="D259" s="100"/>
      <c r="K259" s="100"/>
      <c r="T259" s="100"/>
      <c r="AA259" s="100"/>
    </row>
    <row r="260" spans="4:27" x14ac:dyDescent="0.25">
      <c r="D260" s="100"/>
      <c r="K260" s="100"/>
      <c r="T260" s="100"/>
      <c r="AA260" s="100"/>
    </row>
    <row r="261" spans="4:27" x14ac:dyDescent="0.25">
      <c r="D261" s="100"/>
      <c r="K261" s="100"/>
      <c r="T261" s="100"/>
      <c r="AA261" s="100"/>
    </row>
    <row r="262" spans="4:27" x14ac:dyDescent="0.25">
      <c r="D262" s="100"/>
      <c r="K262" s="100"/>
      <c r="T262" s="100"/>
      <c r="AA262" s="100"/>
    </row>
    <row r="263" spans="4:27" x14ac:dyDescent="0.25">
      <c r="D263" s="100"/>
      <c r="K263" s="100"/>
      <c r="T263" s="100"/>
      <c r="AA263" s="100"/>
    </row>
    <row r="264" spans="4:27" x14ac:dyDescent="0.25">
      <c r="D264" s="100"/>
      <c r="K264" s="100"/>
      <c r="T264" s="100"/>
      <c r="AA264" s="100"/>
    </row>
    <row r="265" spans="4:27" x14ac:dyDescent="0.25">
      <c r="D265" s="100"/>
      <c r="K265" s="100"/>
      <c r="T265" s="100"/>
      <c r="AA265" s="100"/>
    </row>
    <row r="266" spans="4:27" x14ac:dyDescent="0.25">
      <c r="D266" s="100"/>
      <c r="K266" s="100"/>
      <c r="T266" s="100"/>
      <c r="AA266" s="100"/>
    </row>
    <row r="267" spans="4:27" x14ac:dyDescent="0.25">
      <c r="D267" s="100"/>
      <c r="K267" s="100"/>
      <c r="T267" s="100"/>
      <c r="AA267" s="100"/>
    </row>
    <row r="268" spans="4:27" x14ac:dyDescent="0.25">
      <c r="D268" s="100"/>
      <c r="K268" s="100"/>
      <c r="T268" s="100"/>
      <c r="AA268" s="100"/>
    </row>
    <row r="269" spans="4:27" x14ac:dyDescent="0.25">
      <c r="D269" s="100"/>
      <c r="K269" s="100"/>
      <c r="T269" s="100"/>
      <c r="AA269" s="100"/>
    </row>
    <row r="270" spans="4:27" x14ac:dyDescent="0.25">
      <c r="D270" s="100"/>
      <c r="K270" s="100"/>
      <c r="T270" s="100"/>
      <c r="AA270" s="100"/>
    </row>
    <row r="271" spans="4:27" x14ac:dyDescent="0.25">
      <c r="D271" s="100"/>
      <c r="K271" s="100"/>
      <c r="T271" s="100"/>
      <c r="AA271" s="100"/>
    </row>
    <row r="272" spans="4:27" x14ac:dyDescent="0.25">
      <c r="D272" s="100"/>
      <c r="K272" s="100"/>
      <c r="T272" s="100"/>
      <c r="AA272" s="100"/>
    </row>
    <row r="273" spans="4:27" x14ac:dyDescent="0.25">
      <c r="D273" s="100"/>
      <c r="K273" s="100"/>
      <c r="T273" s="100"/>
      <c r="AA273" s="100"/>
    </row>
    <row r="274" spans="4:27" x14ac:dyDescent="0.25">
      <c r="D274" s="100"/>
      <c r="K274" s="100"/>
      <c r="T274" s="100"/>
      <c r="AA274" s="100"/>
    </row>
    <row r="275" spans="4:27" x14ac:dyDescent="0.25">
      <c r="D275" s="100"/>
      <c r="K275" s="100"/>
      <c r="T275" s="100"/>
      <c r="AA275" s="100"/>
    </row>
    <row r="276" spans="4:27" x14ac:dyDescent="0.25">
      <c r="D276" s="100"/>
      <c r="K276" s="100"/>
      <c r="T276" s="100"/>
      <c r="AA276" s="100"/>
    </row>
    <row r="277" spans="4:27" x14ac:dyDescent="0.25">
      <c r="D277" s="100"/>
      <c r="K277" s="100"/>
      <c r="T277" s="100"/>
      <c r="AA277" s="100"/>
    </row>
    <row r="278" spans="4:27" x14ac:dyDescent="0.25">
      <c r="D278" s="100"/>
      <c r="K278" s="100"/>
      <c r="T278" s="100"/>
      <c r="AA278" s="100"/>
    </row>
    <row r="279" spans="4:27" x14ac:dyDescent="0.25">
      <c r="D279" s="100"/>
      <c r="K279" s="100"/>
      <c r="T279" s="100"/>
      <c r="AA279" s="100"/>
    </row>
    <row r="280" spans="4:27" x14ac:dyDescent="0.25">
      <c r="D280" s="100"/>
      <c r="K280" s="100"/>
      <c r="T280" s="100"/>
      <c r="AA280" s="100"/>
    </row>
    <row r="281" spans="4:27" x14ac:dyDescent="0.25">
      <c r="D281" s="100"/>
      <c r="K281" s="100"/>
      <c r="T281" s="100"/>
      <c r="AA281" s="100"/>
    </row>
    <row r="282" spans="4:27" x14ac:dyDescent="0.25">
      <c r="D282" s="100"/>
      <c r="K282" s="100"/>
      <c r="T282" s="100"/>
      <c r="AA282" s="100"/>
    </row>
    <row r="283" spans="4:27" x14ac:dyDescent="0.25">
      <c r="D283" s="100"/>
      <c r="K283" s="100"/>
      <c r="T283" s="100"/>
      <c r="AA283" s="100"/>
    </row>
    <row r="284" spans="4:27" x14ac:dyDescent="0.25">
      <c r="D284" s="100"/>
      <c r="K284" s="100"/>
      <c r="T284" s="100"/>
      <c r="AA284" s="100"/>
    </row>
    <row r="285" spans="4:27" x14ac:dyDescent="0.25">
      <c r="D285" s="100"/>
      <c r="K285" s="100"/>
      <c r="T285" s="100"/>
      <c r="AA285" s="100"/>
    </row>
    <row r="286" spans="4:27" x14ac:dyDescent="0.25">
      <c r="D286" s="100"/>
      <c r="K286" s="100"/>
      <c r="T286" s="100"/>
      <c r="AA286" s="100"/>
    </row>
    <row r="287" spans="4:27" x14ac:dyDescent="0.25">
      <c r="D287" s="100"/>
      <c r="K287" s="100"/>
      <c r="T287" s="100"/>
      <c r="AA287" s="100"/>
    </row>
    <row r="288" spans="4:27" x14ac:dyDescent="0.25">
      <c r="D288" s="100"/>
      <c r="K288" s="100"/>
      <c r="T288" s="100"/>
      <c r="AA288" s="100"/>
    </row>
    <row r="289" spans="4:27" x14ac:dyDescent="0.25">
      <c r="D289" s="100"/>
      <c r="K289" s="100"/>
      <c r="T289" s="100"/>
      <c r="AA289" s="100"/>
    </row>
    <row r="290" spans="4:27" x14ac:dyDescent="0.25">
      <c r="D290" s="100"/>
      <c r="K290" s="100"/>
      <c r="T290" s="100"/>
      <c r="AA290" s="100"/>
    </row>
    <row r="291" spans="4:27" x14ac:dyDescent="0.25">
      <c r="D291" s="100"/>
      <c r="K291" s="100"/>
      <c r="T291" s="100"/>
      <c r="AA291" s="100"/>
    </row>
    <row r="292" spans="4:27" x14ac:dyDescent="0.25">
      <c r="D292" s="100"/>
      <c r="K292" s="100"/>
      <c r="T292" s="100"/>
      <c r="AA292" s="100"/>
    </row>
    <row r="293" spans="4:27" x14ac:dyDescent="0.25">
      <c r="D293" s="100"/>
      <c r="K293" s="100"/>
      <c r="T293" s="100"/>
      <c r="AA293" s="100"/>
    </row>
    <row r="294" spans="4:27" x14ac:dyDescent="0.25">
      <c r="D294" s="100"/>
      <c r="K294" s="100"/>
      <c r="T294" s="100"/>
      <c r="AA294" s="100"/>
    </row>
    <row r="295" spans="4:27" x14ac:dyDescent="0.25">
      <c r="D295" s="100"/>
      <c r="K295" s="100"/>
      <c r="T295" s="100"/>
      <c r="AA295" s="100"/>
    </row>
    <row r="296" spans="4:27" x14ac:dyDescent="0.25">
      <c r="D296" s="100"/>
      <c r="K296" s="100"/>
      <c r="T296" s="100"/>
      <c r="AA296" s="100"/>
    </row>
    <row r="297" spans="4:27" x14ac:dyDescent="0.25">
      <c r="D297" s="100"/>
      <c r="K297" s="100"/>
      <c r="T297" s="100"/>
      <c r="AA297" s="100"/>
    </row>
    <row r="298" spans="4:27" x14ac:dyDescent="0.25">
      <c r="D298" s="100"/>
      <c r="K298" s="100"/>
      <c r="T298" s="100"/>
      <c r="AA298" s="10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25"/>
  <sheetViews>
    <sheetView view="pageBreakPreview" zoomScale="75" zoomScaleNormal="100" zoomScaleSheetLayoutView="75" workbookViewId="0">
      <selection activeCell="B2" sqref="B2"/>
    </sheetView>
  </sheetViews>
  <sheetFormatPr defaultRowHeight="15.75" x14ac:dyDescent="0.25"/>
  <cols>
    <col min="1" max="1" width="47.85546875" style="1" customWidth="1"/>
    <col min="2" max="2" width="57" style="1" customWidth="1"/>
    <col min="3" max="16384" width="9.140625" style="1"/>
  </cols>
  <sheetData>
    <row r="1" spans="1:2" ht="30" x14ac:dyDescent="0.25">
      <c r="B1" s="279" t="s">
        <v>911</v>
      </c>
    </row>
    <row r="2" spans="1:2" ht="19.5" customHeight="1" x14ac:dyDescent="0.25">
      <c r="B2" s="280" t="s">
        <v>910</v>
      </c>
    </row>
    <row r="3" spans="1:2" x14ac:dyDescent="0.25">
      <c r="B3" s="281" t="s">
        <v>899</v>
      </c>
    </row>
    <row r="5" spans="1:2" x14ac:dyDescent="0.25">
      <c r="A5" s="408" t="s">
        <v>33</v>
      </c>
      <c r="B5" s="408"/>
    </row>
    <row r="6" spans="1:2" x14ac:dyDescent="0.25">
      <c r="A6" s="408" t="s">
        <v>34</v>
      </c>
      <c r="B6" s="408"/>
    </row>
    <row r="7" spans="1:2" x14ac:dyDescent="0.25">
      <c r="A7" s="409" t="s">
        <v>431</v>
      </c>
      <c r="B7" s="409"/>
    </row>
    <row r="8" spans="1:2" x14ac:dyDescent="0.25">
      <c r="A8" s="405" t="s">
        <v>35</v>
      </c>
      <c r="B8" s="406"/>
    </row>
    <row r="10" spans="1:2" ht="63" x14ac:dyDescent="0.25">
      <c r="A10" s="282" t="s">
        <v>36</v>
      </c>
      <c r="B10" s="283" t="s">
        <v>264</v>
      </c>
    </row>
    <row r="11" spans="1:2" ht="30" x14ac:dyDescent="0.25">
      <c r="A11" s="282" t="s">
        <v>37</v>
      </c>
      <c r="B11" s="283" t="s">
        <v>265</v>
      </c>
    </row>
    <row r="12" spans="1:2" ht="31.5" x14ac:dyDescent="0.25">
      <c r="A12" s="282" t="s">
        <v>38</v>
      </c>
      <c r="B12" s="284" t="s">
        <v>432</v>
      </c>
    </row>
    <row r="13" spans="1:2" ht="31.5" x14ac:dyDescent="0.25">
      <c r="A13" s="282" t="s">
        <v>39</v>
      </c>
      <c r="B13" s="283" t="s">
        <v>266</v>
      </c>
    </row>
    <row r="14" spans="1:2" ht="31.5" x14ac:dyDescent="0.25">
      <c r="A14" s="282" t="s">
        <v>40</v>
      </c>
      <c r="B14" s="283" t="s">
        <v>267</v>
      </c>
    </row>
    <row r="15" spans="1:2" ht="78.75" customHeight="1" x14ac:dyDescent="0.25">
      <c r="A15" s="282" t="s">
        <v>41</v>
      </c>
      <c r="B15" s="284" t="s">
        <v>42</v>
      </c>
    </row>
    <row r="16" spans="1:2" ht="78.75" customHeight="1" x14ac:dyDescent="0.25">
      <c r="A16" s="282" t="s">
        <v>43</v>
      </c>
      <c r="B16" s="284" t="s">
        <v>44</v>
      </c>
    </row>
    <row r="17" spans="1:2" ht="47.25" x14ac:dyDescent="0.25">
      <c r="A17" s="282" t="s">
        <v>45</v>
      </c>
      <c r="B17" s="284" t="s">
        <v>268</v>
      </c>
    </row>
    <row r="18" spans="1:2" ht="31.5" x14ac:dyDescent="0.25">
      <c r="A18" s="282" t="s">
        <v>46</v>
      </c>
      <c r="B18" s="284" t="s">
        <v>47</v>
      </c>
    </row>
    <row r="19" spans="1:2" ht="47.25" x14ac:dyDescent="0.25">
      <c r="A19" s="282" t="s">
        <v>48</v>
      </c>
      <c r="B19" s="282" t="s">
        <v>269</v>
      </c>
    </row>
    <row r="20" spans="1:2" ht="47.25" x14ac:dyDescent="0.25">
      <c r="A20" s="282" t="s">
        <v>49</v>
      </c>
      <c r="B20" s="284" t="s">
        <v>270</v>
      </c>
    </row>
    <row r="21" spans="1:2" ht="47.25" x14ac:dyDescent="0.25">
      <c r="A21" s="282" t="s">
        <v>50</v>
      </c>
      <c r="B21" s="284" t="s">
        <v>271</v>
      </c>
    </row>
    <row r="22" spans="1:2" ht="31.5" x14ac:dyDescent="0.25">
      <c r="A22" s="282" t="s">
        <v>51</v>
      </c>
      <c r="B22" s="284" t="s">
        <v>272</v>
      </c>
    </row>
    <row r="23" spans="1:2" x14ac:dyDescent="0.25">
      <c r="A23" s="2"/>
      <c r="B23" s="3"/>
    </row>
    <row r="24" spans="1:2" x14ac:dyDescent="0.25">
      <c r="A24" s="407"/>
      <c r="B24" s="407"/>
    </row>
    <row r="25" spans="1:2" ht="15.75" customHeight="1" x14ac:dyDescent="0.25"/>
  </sheetData>
  <mergeCells count="5">
    <mergeCell ref="A8:B8"/>
    <mergeCell ref="A24:B24"/>
    <mergeCell ref="A5:B5"/>
    <mergeCell ref="A6:B6"/>
    <mergeCell ref="A7:B7"/>
  </mergeCells>
  <pageMargins left="0.70866141732283472" right="0.70866141732283472" top="0.74803149606299213" bottom="0.74803149606299213" header="0.31496062992125984" footer="0.31496062992125984"/>
  <pageSetup paperSize="9" scale="83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50"/>
  <sheetViews>
    <sheetView tabSelected="1" view="pageBreakPreview" topLeftCell="N3" zoomScale="60" zoomScaleNormal="100" workbookViewId="0">
      <selection activeCell="X15" sqref="X15:AD15"/>
    </sheetView>
  </sheetViews>
  <sheetFormatPr defaultRowHeight="20.25" x14ac:dyDescent="0.3"/>
  <cols>
    <col min="1" max="1" width="9.140625" style="292"/>
    <col min="2" max="2" width="42.42578125" style="292" customWidth="1"/>
    <col min="3" max="3" width="22.85546875" style="292" customWidth="1"/>
    <col min="4" max="4" width="19.140625" style="292" customWidth="1"/>
    <col min="5" max="5" width="39.140625" style="292" customWidth="1"/>
    <col min="6" max="6" width="16.7109375" style="292" customWidth="1"/>
    <col min="7" max="7" width="14.140625" style="292" customWidth="1"/>
    <col min="8" max="8" width="16.7109375" style="292" customWidth="1"/>
    <col min="9" max="9" width="17.7109375" style="292" customWidth="1"/>
    <col min="10" max="10" width="15" style="292" customWidth="1"/>
    <col min="11" max="11" width="16.140625" style="292" customWidth="1"/>
    <col min="12" max="12" width="14" style="292" customWidth="1"/>
    <col min="13" max="13" width="15.5703125" style="292" customWidth="1"/>
    <col min="14" max="14" width="16.28515625" style="292" customWidth="1"/>
    <col min="15" max="15" width="11.7109375" style="292" customWidth="1"/>
    <col min="16" max="16" width="12.7109375" style="292" customWidth="1"/>
    <col min="17" max="17" width="15.85546875" style="292" customWidth="1"/>
    <col min="18" max="20" width="16.5703125" style="292" customWidth="1"/>
    <col min="21" max="21" width="16.140625" style="292" customWidth="1"/>
    <col min="22" max="22" width="20.42578125" style="292" hidden="1" customWidth="1"/>
    <col min="23" max="23" width="20.42578125" style="292" customWidth="1"/>
    <col min="24" max="25" width="15.85546875" style="292" customWidth="1"/>
    <col min="26" max="26" width="17.7109375" style="292" customWidth="1"/>
    <col min="27" max="27" width="17.140625" style="292" customWidth="1"/>
    <col min="28" max="28" width="18.140625" style="292" customWidth="1"/>
    <col min="29" max="29" width="20.42578125" style="292" customWidth="1"/>
    <col min="30" max="30" width="15.5703125" style="292" customWidth="1"/>
    <col min="31" max="31" width="16.7109375" style="292" customWidth="1"/>
    <col min="32" max="32" width="16" style="292" customWidth="1"/>
    <col min="33" max="33" width="15.42578125" style="292" customWidth="1"/>
    <col min="34" max="34" width="16.28515625" style="292" customWidth="1"/>
    <col min="35" max="35" width="19.28515625" style="292" customWidth="1"/>
    <col min="36" max="36" width="30.7109375" style="292" customWidth="1"/>
    <col min="37" max="37" width="16.140625" style="292" customWidth="1"/>
    <col min="38" max="38" width="16" style="292" customWidth="1"/>
    <col min="39" max="39" width="16.85546875" style="292" customWidth="1"/>
    <col min="40" max="40" width="22.28515625" style="292" customWidth="1"/>
    <col min="41" max="41" width="16.5703125" style="292" customWidth="1"/>
    <col min="42" max="16384" width="9.140625" style="292"/>
  </cols>
  <sheetData>
    <row r="1" spans="1:41" x14ac:dyDescent="0.3">
      <c r="O1" s="390" t="s">
        <v>912</v>
      </c>
      <c r="AD1" s="390" t="str">
        <f>O1</f>
        <v xml:space="preserve">Приложение 2/2 к протоколу заседания Правления Департамента энергетики </v>
      </c>
      <c r="AO1" s="390" t="str">
        <f>AD1</f>
        <v xml:space="preserve">Приложение 2/2 к протоколу заседания Правления Департамента энергетики </v>
      </c>
    </row>
    <row r="2" spans="1:41" x14ac:dyDescent="0.3">
      <c r="O2" s="390" t="str">
        <f>'№1 ИП-ТС'!B2</f>
        <v>и тарифов Ивановской области от 13.12.2024 № 50/9</v>
      </c>
      <c r="AD2" s="390" t="str">
        <f>O2</f>
        <v>и тарифов Ивановской области от 13.12.2024 № 50/9</v>
      </c>
      <c r="AO2" s="390" t="str">
        <f>O2</f>
        <v>и тарифов Ивановской области от 13.12.2024 № 50/9</v>
      </c>
    </row>
    <row r="3" spans="1:41" x14ac:dyDescent="0.3">
      <c r="O3" s="390" t="s">
        <v>900</v>
      </c>
      <c r="AD3" s="390" t="s">
        <v>900</v>
      </c>
      <c r="AO3" s="390" t="s">
        <v>900</v>
      </c>
    </row>
    <row r="4" spans="1:41" ht="13.5" customHeight="1" x14ac:dyDescent="0.3"/>
    <row r="5" spans="1:41" x14ac:dyDescent="0.3">
      <c r="A5" s="420" t="s">
        <v>32</v>
      </c>
      <c r="B5" s="420"/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387"/>
      <c r="Q5" s="387"/>
      <c r="R5" s="387"/>
      <c r="S5" s="387"/>
      <c r="T5" s="387"/>
      <c r="U5" s="387"/>
      <c r="V5" s="387"/>
      <c r="W5" s="387"/>
      <c r="X5" s="387"/>
      <c r="Y5" s="387"/>
      <c r="Z5" s="387"/>
      <c r="AA5" s="387"/>
      <c r="AB5" s="387"/>
      <c r="AC5" s="387"/>
      <c r="AD5" s="387"/>
      <c r="AE5" s="420"/>
      <c r="AF5" s="420"/>
      <c r="AG5" s="420"/>
      <c r="AH5" s="420"/>
      <c r="AI5" s="420"/>
      <c r="AJ5" s="420"/>
      <c r="AK5" s="420"/>
      <c r="AL5" s="420"/>
      <c r="AM5" s="420"/>
      <c r="AN5" s="420"/>
      <c r="AO5" s="420"/>
    </row>
    <row r="6" spans="1:41" x14ac:dyDescent="0.3">
      <c r="A6" s="420" t="s">
        <v>434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388"/>
      <c r="Q6" s="388"/>
      <c r="R6" s="388"/>
      <c r="S6" s="388"/>
      <c r="T6" s="388"/>
      <c r="U6" s="388"/>
      <c r="V6" s="388"/>
      <c r="W6" s="388"/>
      <c r="X6" s="388"/>
      <c r="Y6" s="388"/>
      <c r="Z6" s="388"/>
      <c r="AA6" s="388"/>
      <c r="AB6" s="388"/>
      <c r="AC6" s="388"/>
      <c r="AD6" s="388"/>
      <c r="AE6" s="421"/>
      <c r="AF6" s="422"/>
      <c r="AG6" s="422"/>
      <c r="AH6" s="422"/>
      <c r="AI6" s="422"/>
      <c r="AJ6" s="422"/>
      <c r="AK6" s="422"/>
      <c r="AL6" s="422"/>
      <c r="AM6" s="422"/>
      <c r="AN6" s="422"/>
      <c r="AO6" s="422"/>
    </row>
    <row r="7" spans="1:41" x14ac:dyDescent="0.3">
      <c r="A7" s="420" t="s">
        <v>35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389"/>
      <c r="Q7" s="389"/>
      <c r="R7" s="389"/>
      <c r="S7" s="389"/>
      <c r="T7" s="389"/>
      <c r="U7" s="389"/>
      <c r="V7" s="389"/>
      <c r="W7" s="389"/>
      <c r="X7" s="389"/>
      <c r="Y7" s="389"/>
      <c r="Z7" s="389"/>
      <c r="AA7" s="389"/>
      <c r="AB7" s="389"/>
      <c r="AC7" s="389"/>
      <c r="AD7" s="389"/>
      <c r="AE7" s="423"/>
      <c r="AF7" s="423"/>
      <c r="AG7" s="423"/>
      <c r="AH7" s="423"/>
      <c r="AI7" s="423"/>
      <c r="AJ7" s="423"/>
      <c r="AK7" s="423"/>
      <c r="AL7" s="423"/>
      <c r="AM7" s="423"/>
      <c r="AN7" s="423"/>
      <c r="AO7" s="423"/>
    </row>
    <row r="8" spans="1:41" x14ac:dyDescent="0.3">
      <c r="A8" s="420" t="s">
        <v>433</v>
      </c>
      <c r="B8" s="420"/>
      <c r="C8" s="420"/>
      <c r="D8" s="420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  <c r="P8" s="387"/>
      <c r="Q8" s="387"/>
      <c r="R8" s="387"/>
      <c r="S8" s="387"/>
      <c r="T8" s="387"/>
      <c r="U8" s="387"/>
      <c r="V8" s="387"/>
      <c r="W8" s="387"/>
      <c r="X8" s="387"/>
      <c r="Y8" s="387"/>
      <c r="Z8" s="387"/>
      <c r="AA8" s="387"/>
      <c r="AB8" s="387"/>
      <c r="AC8" s="387"/>
      <c r="AD8" s="387"/>
      <c r="AE8" s="420"/>
      <c r="AF8" s="420"/>
      <c r="AG8" s="420"/>
      <c r="AH8" s="420"/>
      <c r="AI8" s="420"/>
      <c r="AJ8" s="420"/>
      <c r="AK8" s="420"/>
      <c r="AL8" s="420"/>
      <c r="AM8" s="420"/>
      <c r="AN8" s="420"/>
      <c r="AO8" s="420"/>
    </row>
    <row r="9" spans="1:41" x14ac:dyDescent="0.3">
      <c r="A9" s="291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</row>
    <row r="10" spans="1:41" x14ac:dyDescent="0.3">
      <c r="A10" s="410" t="s">
        <v>53</v>
      </c>
      <c r="B10" s="410" t="s">
        <v>54</v>
      </c>
      <c r="C10" s="410" t="s">
        <v>55</v>
      </c>
      <c r="D10" s="410" t="s">
        <v>56</v>
      </c>
      <c r="E10" s="410" t="s">
        <v>57</v>
      </c>
      <c r="F10" s="410" t="s">
        <v>58</v>
      </c>
      <c r="G10" s="410"/>
      <c r="H10" s="410"/>
      <c r="I10" s="410"/>
      <c r="J10" s="410"/>
      <c r="K10" s="410"/>
      <c r="L10" s="410"/>
      <c r="M10" s="410"/>
      <c r="N10" s="410"/>
      <c r="O10" s="410"/>
      <c r="P10" s="410" t="s">
        <v>59</v>
      </c>
      <c r="Q10" s="410" t="s">
        <v>60</v>
      </c>
      <c r="R10" s="410" t="s">
        <v>853</v>
      </c>
      <c r="S10" s="410"/>
      <c r="T10" s="410"/>
      <c r="U10" s="410"/>
      <c r="V10" s="410"/>
      <c r="W10" s="410"/>
      <c r="X10" s="410"/>
      <c r="Y10" s="410"/>
      <c r="Z10" s="410"/>
      <c r="AA10" s="410"/>
      <c r="AB10" s="410"/>
      <c r="AC10" s="410"/>
      <c r="AD10" s="410"/>
      <c r="AE10" s="410" t="s">
        <v>854</v>
      </c>
      <c r="AF10" s="410"/>
      <c r="AG10" s="410"/>
      <c r="AH10" s="410"/>
      <c r="AI10" s="410"/>
      <c r="AJ10" s="410"/>
      <c r="AK10" s="410"/>
      <c r="AL10" s="410"/>
      <c r="AM10" s="410"/>
      <c r="AN10" s="410"/>
      <c r="AO10" s="410"/>
    </row>
    <row r="11" spans="1:41" x14ac:dyDescent="0.3">
      <c r="A11" s="410"/>
      <c r="B11" s="410"/>
      <c r="C11" s="410"/>
      <c r="D11" s="410"/>
      <c r="E11" s="410"/>
      <c r="F11" s="410" t="s">
        <v>61</v>
      </c>
      <c r="G11" s="410"/>
      <c r="H11" s="410"/>
      <c r="I11" s="410"/>
      <c r="J11" s="410"/>
      <c r="K11" s="410"/>
      <c r="L11" s="410"/>
      <c r="M11" s="410"/>
      <c r="N11" s="410"/>
      <c r="O11" s="410"/>
      <c r="P11" s="410"/>
      <c r="Q11" s="410"/>
      <c r="R11" s="410" t="s">
        <v>62</v>
      </c>
      <c r="S11" s="410"/>
      <c r="T11" s="410"/>
      <c r="U11" s="410" t="s">
        <v>917</v>
      </c>
      <c r="V11" s="410" t="s">
        <v>63</v>
      </c>
      <c r="W11" s="410"/>
      <c r="X11" s="410"/>
      <c r="Y11" s="410"/>
      <c r="Z11" s="410"/>
      <c r="AA11" s="410"/>
      <c r="AB11" s="410"/>
      <c r="AC11" s="410"/>
      <c r="AD11" s="410" t="s">
        <v>64</v>
      </c>
      <c r="AE11" s="410" t="s">
        <v>65</v>
      </c>
      <c r="AF11" s="410" t="s">
        <v>66</v>
      </c>
      <c r="AG11" s="410" t="s">
        <v>67</v>
      </c>
      <c r="AH11" s="410" t="s">
        <v>68</v>
      </c>
      <c r="AI11" s="410" t="s">
        <v>69</v>
      </c>
      <c r="AJ11" s="410"/>
      <c r="AK11" s="410" t="s">
        <v>70</v>
      </c>
      <c r="AL11" s="410" t="s">
        <v>71</v>
      </c>
      <c r="AM11" s="410" t="s">
        <v>237</v>
      </c>
      <c r="AN11" s="410" t="s">
        <v>72</v>
      </c>
      <c r="AO11" s="410" t="s">
        <v>73</v>
      </c>
    </row>
    <row r="12" spans="1:41" x14ac:dyDescent="0.3">
      <c r="A12" s="410"/>
      <c r="B12" s="410"/>
      <c r="C12" s="410"/>
      <c r="D12" s="410"/>
      <c r="E12" s="410"/>
      <c r="F12" s="410" t="s">
        <v>74</v>
      </c>
      <c r="G12" s="410"/>
      <c r="H12" s="410"/>
      <c r="I12" s="410"/>
      <c r="J12" s="410"/>
      <c r="K12" s="410" t="s">
        <v>75</v>
      </c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0"/>
      <c r="AG12" s="410"/>
      <c r="AH12" s="410"/>
      <c r="AI12" s="410"/>
      <c r="AJ12" s="410"/>
      <c r="AK12" s="410"/>
      <c r="AL12" s="410"/>
      <c r="AM12" s="410"/>
      <c r="AN12" s="410"/>
      <c r="AO12" s="410"/>
    </row>
    <row r="13" spans="1:41" x14ac:dyDescent="0.3">
      <c r="A13" s="410"/>
      <c r="B13" s="410"/>
      <c r="C13" s="410"/>
      <c r="D13" s="410"/>
      <c r="E13" s="410"/>
      <c r="F13" s="410" t="s">
        <v>76</v>
      </c>
      <c r="G13" s="410"/>
      <c r="H13" s="410"/>
      <c r="I13" s="410"/>
      <c r="J13" s="410" t="s">
        <v>77</v>
      </c>
      <c r="K13" s="410" t="s">
        <v>76</v>
      </c>
      <c r="L13" s="410"/>
      <c r="M13" s="410"/>
      <c r="N13" s="410"/>
      <c r="O13" s="410" t="s">
        <v>77</v>
      </c>
      <c r="P13" s="410"/>
      <c r="Q13" s="410"/>
      <c r="R13" s="410" t="s">
        <v>23</v>
      </c>
      <c r="S13" s="410" t="s">
        <v>24</v>
      </c>
      <c r="T13" s="410"/>
      <c r="U13" s="410"/>
      <c r="V13" s="410"/>
      <c r="W13" s="410"/>
      <c r="X13" s="410"/>
      <c r="Y13" s="410"/>
      <c r="Z13" s="410"/>
      <c r="AA13" s="410"/>
      <c r="AB13" s="410"/>
      <c r="AC13" s="410"/>
      <c r="AD13" s="410"/>
      <c r="AE13" s="410"/>
      <c r="AF13" s="410"/>
      <c r="AG13" s="410"/>
      <c r="AH13" s="410"/>
      <c r="AI13" s="410" t="s">
        <v>78</v>
      </c>
      <c r="AJ13" s="410" t="s">
        <v>79</v>
      </c>
      <c r="AK13" s="410"/>
      <c r="AL13" s="410"/>
      <c r="AM13" s="410"/>
      <c r="AN13" s="410"/>
      <c r="AO13" s="410"/>
    </row>
    <row r="14" spans="1:41" s="293" customFormat="1" ht="250.5" customHeight="1" x14ac:dyDescent="0.25">
      <c r="A14" s="410"/>
      <c r="B14" s="410"/>
      <c r="C14" s="410"/>
      <c r="D14" s="410"/>
      <c r="E14" s="410"/>
      <c r="F14" s="381" t="s">
        <v>80</v>
      </c>
      <c r="G14" s="381" t="s">
        <v>81</v>
      </c>
      <c r="H14" s="381" t="s">
        <v>82</v>
      </c>
      <c r="I14" s="381" t="s">
        <v>83</v>
      </c>
      <c r="J14" s="410"/>
      <c r="K14" s="381" t="s">
        <v>80</v>
      </c>
      <c r="L14" s="381" t="s">
        <v>81</v>
      </c>
      <c r="M14" s="381" t="s">
        <v>82</v>
      </c>
      <c r="N14" s="381" t="s">
        <v>83</v>
      </c>
      <c r="O14" s="410"/>
      <c r="P14" s="410"/>
      <c r="Q14" s="410"/>
      <c r="R14" s="410"/>
      <c r="S14" s="381" t="s">
        <v>84</v>
      </c>
      <c r="T14" s="381" t="s">
        <v>85</v>
      </c>
      <c r="U14" s="410"/>
      <c r="V14" s="381">
        <v>2023</v>
      </c>
      <c r="W14" s="381">
        <v>2024</v>
      </c>
      <c r="X14" s="381">
        <v>2025</v>
      </c>
      <c r="Y14" s="381">
        <v>2026</v>
      </c>
      <c r="Z14" s="381">
        <v>2027</v>
      </c>
      <c r="AA14" s="381">
        <v>2028</v>
      </c>
      <c r="AB14" s="381">
        <v>2029</v>
      </c>
      <c r="AC14" s="381" t="s">
        <v>628</v>
      </c>
      <c r="AD14" s="410"/>
      <c r="AE14" s="410"/>
      <c r="AF14" s="410"/>
      <c r="AG14" s="410"/>
      <c r="AH14" s="410"/>
      <c r="AI14" s="410"/>
      <c r="AJ14" s="410"/>
      <c r="AK14" s="410"/>
      <c r="AL14" s="410"/>
      <c r="AM14" s="410"/>
      <c r="AN14" s="410"/>
      <c r="AO14" s="410"/>
    </row>
    <row r="15" spans="1:41" x14ac:dyDescent="0.3">
      <c r="A15" s="383">
        <v>1</v>
      </c>
      <c r="B15" s="383">
        <v>2</v>
      </c>
      <c r="C15" s="383">
        <v>3</v>
      </c>
      <c r="D15" s="383">
        <v>4</v>
      </c>
      <c r="E15" s="383">
        <v>5</v>
      </c>
      <c r="F15" s="383" t="s">
        <v>12</v>
      </c>
      <c r="G15" s="383" t="s">
        <v>14</v>
      </c>
      <c r="H15" s="383" t="s">
        <v>15</v>
      </c>
      <c r="I15" s="383" t="s">
        <v>16</v>
      </c>
      <c r="J15" s="383" t="s">
        <v>86</v>
      </c>
      <c r="K15" s="383" t="s">
        <v>17</v>
      </c>
      <c r="L15" s="383" t="s">
        <v>18</v>
      </c>
      <c r="M15" s="383" t="s">
        <v>19</v>
      </c>
      <c r="N15" s="383" t="s">
        <v>20</v>
      </c>
      <c r="O15" s="383" t="s">
        <v>87</v>
      </c>
      <c r="P15" s="383">
        <v>8</v>
      </c>
      <c r="Q15" s="383">
        <v>9</v>
      </c>
      <c r="R15" s="383" t="s">
        <v>88</v>
      </c>
      <c r="S15" s="383" t="s">
        <v>89</v>
      </c>
      <c r="T15" s="383" t="s">
        <v>90</v>
      </c>
      <c r="U15" s="383" t="s">
        <v>91</v>
      </c>
      <c r="V15" s="383" t="s">
        <v>92</v>
      </c>
      <c r="W15" s="404" t="s">
        <v>92</v>
      </c>
      <c r="X15" s="383" t="s">
        <v>93</v>
      </c>
      <c r="Y15" s="404" t="s">
        <v>94</v>
      </c>
      <c r="Z15" s="404" t="s">
        <v>95</v>
      </c>
      <c r="AA15" s="404" t="s">
        <v>96</v>
      </c>
      <c r="AB15" s="404" t="s">
        <v>97</v>
      </c>
      <c r="AC15" s="404" t="s">
        <v>98</v>
      </c>
      <c r="AD15" s="404" t="s">
        <v>99</v>
      </c>
      <c r="AE15" s="383" t="s">
        <v>100</v>
      </c>
      <c r="AF15" s="383" t="s">
        <v>101</v>
      </c>
      <c r="AG15" s="383" t="s">
        <v>102</v>
      </c>
      <c r="AH15" s="383" t="s">
        <v>103</v>
      </c>
      <c r="AI15" s="383" t="s">
        <v>104</v>
      </c>
      <c r="AJ15" s="383" t="s">
        <v>105</v>
      </c>
      <c r="AK15" s="383" t="s">
        <v>106</v>
      </c>
      <c r="AL15" s="383" t="s">
        <v>107</v>
      </c>
      <c r="AM15" s="383" t="s">
        <v>108</v>
      </c>
      <c r="AN15" s="383" t="s">
        <v>109</v>
      </c>
      <c r="AO15" s="383" t="s">
        <v>110</v>
      </c>
    </row>
    <row r="16" spans="1:41" ht="15" customHeight="1" x14ac:dyDescent="0.3">
      <c r="A16" s="414" t="s">
        <v>111</v>
      </c>
      <c r="B16" s="415"/>
      <c r="C16" s="415"/>
      <c r="D16" s="415"/>
      <c r="E16" s="415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391"/>
    </row>
    <row r="17" spans="1:41" ht="12.75" customHeight="1" x14ac:dyDescent="0.3">
      <c r="A17" s="414" t="s">
        <v>112</v>
      </c>
      <c r="B17" s="415"/>
      <c r="C17" s="415"/>
      <c r="D17" s="415"/>
      <c r="E17" s="415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391"/>
    </row>
    <row r="18" spans="1:41" x14ac:dyDescent="0.3">
      <c r="A18" s="383" t="s">
        <v>113</v>
      </c>
      <c r="B18" s="382"/>
      <c r="C18" s="382"/>
      <c r="D18" s="382"/>
      <c r="E18" s="382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</row>
    <row r="19" spans="1:41" x14ac:dyDescent="0.3">
      <c r="A19" s="383" t="s">
        <v>114</v>
      </c>
      <c r="B19" s="382"/>
      <c r="C19" s="382"/>
      <c r="D19" s="382"/>
      <c r="E19" s="382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</row>
    <row r="20" spans="1:41" ht="15" customHeight="1" x14ac:dyDescent="0.3">
      <c r="A20" s="414" t="s">
        <v>115</v>
      </c>
      <c r="B20" s="415"/>
      <c r="C20" s="415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5"/>
      <c r="O20" s="415"/>
      <c r="P20" s="415"/>
      <c r="Q20" s="415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391"/>
    </row>
    <row r="21" spans="1:41" x14ac:dyDescent="0.3">
      <c r="A21" s="383" t="s">
        <v>116</v>
      </c>
      <c r="B21" s="382"/>
      <c r="C21" s="382"/>
      <c r="D21" s="382"/>
      <c r="E21" s="382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</row>
    <row r="22" spans="1:41" x14ac:dyDescent="0.3">
      <c r="A22" s="383" t="s">
        <v>117</v>
      </c>
      <c r="B22" s="382"/>
      <c r="C22" s="382"/>
      <c r="D22" s="382"/>
      <c r="E22" s="382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</row>
    <row r="23" spans="1:41" ht="15" customHeight="1" x14ac:dyDescent="0.3">
      <c r="A23" s="414" t="s">
        <v>118</v>
      </c>
      <c r="B23" s="415"/>
      <c r="C23" s="415"/>
      <c r="D23" s="415"/>
      <c r="E23" s="415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391"/>
    </row>
    <row r="24" spans="1:41" x14ac:dyDescent="0.3">
      <c r="A24" s="383" t="s">
        <v>119</v>
      </c>
      <c r="B24" s="382"/>
      <c r="C24" s="382"/>
      <c r="D24" s="382"/>
      <c r="E24" s="382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</row>
    <row r="25" spans="1:41" x14ac:dyDescent="0.3">
      <c r="A25" s="383" t="s">
        <v>120</v>
      </c>
      <c r="B25" s="382"/>
      <c r="C25" s="382"/>
      <c r="D25" s="382"/>
      <c r="E25" s="382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</row>
    <row r="26" spans="1:41" ht="24" customHeight="1" x14ac:dyDescent="0.3">
      <c r="A26" s="414" t="s">
        <v>121</v>
      </c>
      <c r="B26" s="415"/>
      <c r="C26" s="415"/>
      <c r="D26" s="415"/>
      <c r="E26" s="415"/>
      <c r="F26" s="415"/>
      <c r="G26" s="415"/>
      <c r="H26" s="415"/>
      <c r="I26" s="415"/>
      <c r="J26" s="415"/>
      <c r="K26" s="415"/>
      <c r="L26" s="415"/>
      <c r="M26" s="415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391"/>
    </row>
    <row r="27" spans="1:41" x14ac:dyDescent="0.3">
      <c r="A27" s="383" t="s">
        <v>122</v>
      </c>
      <c r="B27" s="382"/>
      <c r="C27" s="382"/>
      <c r="D27" s="382"/>
      <c r="E27" s="382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</row>
    <row r="28" spans="1:41" x14ac:dyDescent="0.3">
      <c r="A28" s="383" t="s">
        <v>123</v>
      </c>
      <c r="B28" s="382"/>
      <c r="C28" s="382"/>
      <c r="D28" s="382"/>
      <c r="E28" s="382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</row>
    <row r="29" spans="1:41" x14ac:dyDescent="0.3">
      <c r="A29" s="416" t="s">
        <v>124</v>
      </c>
      <c r="B29" s="416"/>
      <c r="C29" s="297"/>
      <c r="D29" s="382"/>
      <c r="E29" s="382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</row>
    <row r="30" spans="1:41" ht="33.75" customHeight="1" x14ac:dyDescent="0.3">
      <c r="A30" s="414" t="s">
        <v>125</v>
      </c>
      <c r="B30" s="415"/>
      <c r="C30" s="415"/>
      <c r="D30" s="415"/>
      <c r="E30" s="415"/>
      <c r="F30" s="415"/>
      <c r="G30" s="415"/>
      <c r="H30" s="415"/>
      <c r="I30" s="415"/>
      <c r="J30" s="415"/>
      <c r="K30" s="415"/>
      <c r="L30" s="415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391"/>
    </row>
    <row r="31" spans="1:41" ht="81" x14ac:dyDescent="0.3">
      <c r="A31" s="383" t="s">
        <v>26</v>
      </c>
      <c r="B31" s="381" t="s">
        <v>468</v>
      </c>
      <c r="C31" s="381" t="s">
        <v>492</v>
      </c>
      <c r="D31" s="381" t="s">
        <v>473</v>
      </c>
      <c r="E31" s="381" t="s">
        <v>480</v>
      </c>
      <c r="F31" s="381"/>
      <c r="G31" s="381"/>
      <c r="H31" s="381"/>
      <c r="I31" s="381"/>
      <c r="J31" s="381"/>
      <c r="K31" s="381"/>
      <c r="L31" s="381"/>
      <c r="M31" s="381"/>
      <c r="N31" s="381"/>
      <c r="O31" s="381">
        <v>2.15</v>
      </c>
      <c r="P31" s="384">
        <v>2025</v>
      </c>
      <c r="Q31" s="372">
        <v>46022</v>
      </c>
      <c r="R31" s="373">
        <v>27490.277999999998</v>
      </c>
      <c r="S31" s="296">
        <v>2364.1640000000002</v>
      </c>
      <c r="T31" s="296">
        <f>R31-S31</f>
        <v>25126.113999999998</v>
      </c>
      <c r="U31" s="296"/>
      <c r="V31" s="296"/>
      <c r="W31" s="296"/>
      <c r="X31" s="296">
        <f>R31</f>
        <v>27490.277999999998</v>
      </c>
      <c r="Y31" s="381"/>
      <c r="Z31" s="381"/>
      <c r="AA31" s="381"/>
      <c r="AB31" s="381"/>
      <c r="AC31" s="381"/>
      <c r="AD31" s="381"/>
      <c r="AE31" s="381"/>
      <c r="AF31" s="381"/>
      <c r="AG31" s="381"/>
      <c r="AH31" s="381"/>
      <c r="AI31" s="381"/>
      <c r="AJ31" s="381"/>
      <c r="AK31" s="381"/>
      <c r="AL31" s="381"/>
      <c r="AM31" s="296">
        <f>X31-AN31</f>
        <v>16233.991999999998</v>
      </c>
      <c r="AN31" s="296">
        <v>11256.286</v>
      </c>
      <c r="AO31" s="381"/>
    </row>
    <row r="32" spans="1:41" ht="81" x14ac:dyDescent="0.3">
      <c r="A32" s="383" t="s">
        <v>126</v>
      </c>
      <c r="B32" s="381" t="s">
        <v>463</v>
      </c>
      <c r="C32" s="381"/>
      <c r="D32" s="381" t="s">
        <v>474</v>
      </c>
      <c r="E32" s="381" t="s">
        <v>481</v>
      </c>
      <c r="F32" s="381"/>
      <c r="G32" s="381"/>
      <c r="H32" s="381"/>
      <c r="I32" s="381"/>
      <c r="J32" s="381"/>
      <c r="K32" s="381"/>
      <c r="L32" s="381"/>
      <c r="M32" s="381"/>
      <c r="N32" s="381"/>
      <c r="O32" s="381"/>
      <c r="P32" s="384">
        <v>2025</v>
      </c>
      <c r="Q32" s="372">
        <v>46022</v>
      </c>
      <c r="R32" s="373">
        <v>261.08300000000003</v>
      </c>
      <c r="S32" s="296">
        <v>10.678000000000001</v>
      </c>
      <c r="T32" s="296">
        <f t="shared" ref="T32:T60" si="0">R32-S32</f>
        <v>250.40500000000003</v>
      </c>
      <c r="U32" s="296"/>
      <c r="V32" s="296"/>
      <c r="W32" s="296"/>
      <c r="X32" s="296">
        <f t="shared" ref="X32:X60" si="1">R32</f>
        <v>261.08300000000003</v>
      </c>
      <c r="Y32" s="381"/>
      <c r="Z32" s="381"/>
      <c r="AA32" s="381"/>
      <c r="AB32" s="381"/>
      <c r="AC32" s="381"/>
      <c r="AD32" s="381"/>
      <c r="AE32" s="381"/>
      <c r="AF32" s="381"/>
      <c r="AG32" s="381"/>
      <c r="AH32" s="381"/>
      <c r="AI32" s="381"/>
      <c r="AJ32" s="381"/>
      <c r="AK32" s="381"/>
      <c r="AL32" s="381"/>
      <c r="AM32" s="296">
        <f t="shared" ref="AM32:AM60" si="2">X32-AN32</f>
        <v>261.08300000000003</v>
      </c>
      <c r="AN32" s="296"/>
      <c r="AO32" s="381"/>
    </row>
    <row r="33" spans="1:41" ht="84.75" x14ac:dyDescent="0.3">
      <c r="A33" s="383" t="s">
        <v>435</v>
      </c>
      <c r="B33" s="381" t="s">
        <v>901</v>
      </c>
      <c r="C33" s="381" t="s">
        <v>481</v>
      </c>
      <c r="D33" s="381" t="s">
        <v>475</v>
      </c>
      <c r="E33" s="381" t="s">
        <v>481</v>
      </c>
      <c r="F33" s="381"/>
      <c r="G33" s="381"/>
      <c r="H33" s="381"/>
      <c r="I33" s="381"/>
      <c r="J33" s="381"/>
      <c r="K33" s="381"/>
      <c r="L33" s="381"/>
      <c r="M33" s="381"/>
      <c r="N33" s="381"/>
      <c r="O33" s="381"/>
      <c r="P33" s="384">
        <v>2025</v>
      </c>
      <c r="Q33" s="372">
        <v>46022</v>
      </c>
      <c r="R33" s="373">
        <v>278.892</v>
      </c>
      <c r="S33" s="296">
        <v>14.949</v>
      </c>
      <c r="T33" s="296">
        <f t="shared" si="0"/>
        <v>263.94299999999998</v>
      </c>
      <c r="U33" s="296"/>
      <c r="V33" s="296"/>
      <c r="W33" s="296"/>
      <c r="X33" s="296">
        <f t="shared" si="1"/>
        <v>278.892</v>
      </c>
      <c r="Y33" s="381"/>
      <c r="Z33" s="381"/>
      <c r="AA33" s="381"/>
      <c r="AB33" s="381"/>
      <c r="AC33" s="381"/>
      <c r="AD33" s="381"/>
      <c r="AE33" s="381"/>
      <c r="AF33" s="381"/>
      <c r="AG33" s="381"/>
      <c r="AH33" s="381"/>
      <c r="AI33" s="381"/>
      <c r="AJ33" s="381"/>
      <c r="AK33" s="381"/>
      <c r="AL33" s="381"/>
      <c r="AM33" s="296">
        <f t="shared" si="2"/>
        <v>278.892</v>
      </c>
      <c r="AN33" s="296"/>
      <c r="AO33" s="381"/>
    </row>
    <row r="34" spans="1:41" ht="81" x14ac:dyDescent="0.3">
      <c r="A34" s="383" t="s">
        <v>436</v>
      </c>
      <c r="B34" s="381" t="s">
        <v>464</v>
      </c>
      <c r="C34" s="381" t="s">
        <v>481</v>
      </c>
      <c r="D34" s="381" t="s">
        <v>476</v>
      </c>
      <c r="E34" s="381" t="s">
        <v>481</v>
      </c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P34" s="384">
        <v>2025</v>
      </c>
      <c r="Q34" s="372">
        <v>46022</v>
      </c>
      <c r="R34" s="373">
        <v>421.30599999999998</v>
      </c>
      <c r="S34" s="296">
        <v>18.706</v>
      </c>
      <c r="T34" s="296">
        <f t="shared" si="0"/>
        <v>402.59999999999997</v>
      </c>
      <c r="U34" s="296"/>
      <c r="V34" s="296"/>
      <c r="W34" s="296"/>
      <c r="X34" s="296">
        <f t="shared" si="1"/>
        <v>421.30599999999998</v>
      </c>
      <c r="Y34" s="381"/>
      <c r="Z34" s="381"/>
      <c r="AA34" s="381"/>
      <c r="AB34" s="381"/>
      <c r="AC34" s="381"/>
      <c r="AD34" s="381"/>
      <c r="AE34" s="381"/>
      <c r="AF34" s="381"/>
      <c r="AG34" s="381"/>
      <c r="AH34" s="381"/>
      <c r="AI34" s="381"/>
      <c r="AJ34" s="381"/>
      <c r="AK34" s="381"/>
      <c r="AL34" s="381"/>
      <c r="AM34" s="296">
        <f t="shared" si="2"/>
        <v>421.30599999999998</v>
      </c>
      <c r="AN34" s="296"/>
      <c r="AO34" s="381"/>
    </row>
    <row r="35" spans="1:41" ht="81" x14ac:dyDescent="0.3">
      <c r="A35" s="383" t="s">
        <v>437</v>
      </c>
      <c r="B35" s="381" t="s">
        <v>465</v>
      </c>
      <c r="C35" s="381"/>
      <c r="D35" s="381" t="s">
        <v>477</v>
      </c>
      <c r="E35" s="381" t="s">
        <v>481</v>
      </c>
      <c r="F35" s="381"/>
      <c r="G35" s="381"/>
      <c r="H35" s="381"/>
      <c r="I35" s="381"/>
      <c r="J35" s="381"/>
      <c r="K35" s="381"/>
      <c r="L35" s="381"/>
      <c r="M35" s="381"/>
      <c r="N35" s="381"/>
      <c r="O35" s="381"/>
      <c r="P35" s="384">
        <v>2025</v>
      </c>
      <c r="Q35" s="372">
        <v>46022</v>
      </c>
      <c r="R35" s="373">
        <v>443.54</v>
      </c>
      <c r="S35" s="296">
        <v>20.314</v>
      </c>
      <c r="T35" s="296">
        <f t="shared" si="0"/>
        <v>423.226</v>
      </c>
      <c r="U35" s="296"/>
      <c r="V35" s="296"/>
      <c r="W35" s="296"/>
      <c r="X35" s="296">
        <f t="shared" si="1"/>
        <v>443.54</v>
      </c>
      <c r="Y35" s="381"/>
      <c r="Z35" s="381"/>
      <c r="AA35" s="381"/>
      <c r="AB35" s="381"/>
      <c r="AC35" s="381"/>
      <c r="AD35" s="381"/>
      <c r="AE35" s="381"/>
      <c r="AF35" s="381"/>
      <c r="AG35" s="381"/>
      <c r="AH35" s="381"/>
      <c r="AI35" s="381"/>
      <c r="AJ35" s="381"/>
      <c r="AK35" s="381"/>
      <c r="AL35" s="381"/>
      <c r="AM35" s="296">
        <f t="shared" si="2"/>
        <v>443.54</v>
      </c>
      <c r="AN35" s="296"/>
      <c r="AO35" s="381"/>
    </row>
    <row r="36" spans="1:41" ht="60.75" x14ac:dyDescent="0.3">
      <c r="A36" s="383" t="s">
        <v>438</v>
      </c>
      <c r="B36" s="381" t="s">
        <v>466</v>
      </c>
      <c r="C36" s="381"/>
      <c r="D36" s="381" t="s">
        <v>478</v>
      </c>
      <c r="E36" s="381" t="s">
        <v>481</v>
      </c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4">
        <v>2025</v>
      </c>
      <c r="Q36" s="372">
        <v>46022</v>
      </c>
      <c r="R36" s="373">
        <v>183.6</v>
      </c>
      <c r="S36" s="296">
        <v>8.4819999999999993</v>
      </c>
      <c r="T36" s="296">
        <f t="shared" si="0"/>
        <v>175.11799999999999</v>
      </c>
      <c r="U36" s="296"/>
      <c r="V36" s="296"/>
      <c r="W36" s="296"/>
      <c r="X36" s="296">
        <f t="shared" si="1"/>
        <v>183.6</v>
      </c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381"/>
      <c r="AJ36" s="381"/>
      <c r="AK36" s="381"/>
      <c r="AL36" s="381"/>
      <c r="AM36" s="296">
        <f t="shared" si="2"/>
        <v>183.6</v>
      </c>
      <c r="AN36" s="296"/>
      <c r="AO36" s="381"/>
    </row>
    <row r="37" spans="1:41" ht="141.75" x14ac:dyDescent="0.3">
      <c r="A37" s="383" t="s">
        <v>439</v>
      </c>
      <c r="B37" s="381" t="s">
        <v>467</v>
      </c>
      <c r="C37" s="381" t="s">
        <v>493</v>
      </c>
      <c r="D37" s="381" t="s">
        <v>479</v>
      </c>
      <c r="E37" s="381" t="s">
        <v>480</v>
      </c>
      <c r="F37" s="381"/>
      <c r="G37" s="381"/>
      <c r="H37" s="381"/>
      <c r="I37" s="381"/>
      <c r="J37" s="381"/>
      <c r="K37" s="381">
        <v>159</v>
      </c>
      <c r="L37" s="381"/>
      <c r="M37" s="381">
        <v>0.03</v>
      </c>
      <c r="N37" s="381" t="s">
        <v>497</v>
      </c>
      <c r="O37" s="381"/>
      <c r="P37" s="381">
        <v>2025</v>
      </c>
      <c r="Q37" s="374">
        <v>46022</v>
      </c>
      <c r="R37" s="373">
        <v>385.62599999999998</v>
      </c>
      <c r="S37" s="296">
        <v>16.158000000000001</v>
      </c>
      <c r="T37" s="296">
        <f t="shared" si="0"/>
        <v>369.46799999999996</v>
      </c>
      <c r="U37" s="296"/>
      <c r="V37" s="296"/>
      <c r="W37" s="296"/>
      <c r="X37" s="296">
        <f t="shared" si="1"/>
        <v>385.62599999999998</v>
      </c>
      <c r="Y37" s="381"/>
      <c r="Z37" s="381"/>
      <c r="AA37" s="381"/>
      <c r="AB37" s="381"/>
      <c r="AC37" s="381"/>
      <c r="AD37" s="381"/>
      <c r="AE37" s="381"/>
      <c r="AF37" s="381"/>
      <c r="AG37" s="381"/>
      <c r="AH37" s="381"/>
      <c r="AI37" s="381"/>
      <c r="AJ37" s="381"/>
      <c r="AK37" s="381"/>
      <c r="AL37" s="381"/>
      <c r="AM37" s="296">
        <f t="shared" si="2"/>
        <v>385.62599999999998</v>
      </c>
      <c r="AN37" s="296"/>
      <c r="AO37" s="381"/>
    </row>
    <row r="38" spans="1:41" ht="81" x14ac:dyDescent="0.3">
      <c r="A38" s="383" t="s">
        <v>440</v>
      </c>
      <c r="B38" s="381" t="s">
        <v>823</v>
      </c>
      <c r="C38" s="381" t="s">
        <v>494</v>
      </c>
      <c r="D38" s="381" t="s">
        <v>473</v>
      </c>
      <c r="E38" s="381" t="s">
        <v>482</v>
      </c>
      <c r="F38" s="381"/>
      <c r="G38" s="381"/>
      <c r="H38" s="381"/>
      <c r="I38" s="381"/>
      <c r="J38" s="381"/>
      <c r="K38" s="381"/>
      <c r="L38" s="381"/>
      <c r="M38" s="381"/>
      <c r="N38" s="381"/>
      <c r="O38" s="381">
        <v>0.34</v>
      </c>
      <c r="P38" s="381">
        <v>2025</v>
      </c>
      <c r="Q38" s="374">
        <v>46022</v>
      </c>
      <c r="R38" s="373">
        <v>6871.857</v>
      </c>
      <c r="S38" s="296">
        <v>505.76900000000001</v>
      </c>
      <c r="T38" s="296">
        <f t="shared" si="0"/>
        <v>6366.0879999999997</v>
      </c>
      <c r="U38" s="296"/>
      <c r="V38" s="296"/>
      <c r="W38" s="296"/>
      <c r="X38" s="296">
        <f t="shared" si="1"/>
        <v>6871.857</v>
      </c>
      <c r="Y38" s="381"/>
      <c r="Z38" s="381"/>
      <c r="AA38" s="381"/>
      <c r="AB38" s="381"/>
      <c r="AC38" s="381"/>
      <c r="AD38" s="381"/>
      <c r="AE38" s="381"/>
      <c r="AF38" s="381"/>
      <c r="AG38" s="381"/>
      <c r="AH38" s="381"/>
      <c r="AI38" s="381"/>
      <c r="AJ38" s="381"/>
      <c r="AK38" s="381"/>
      <c r="AL38" s="381"/>
      <c r="AM38" s="296">
        <f t="shared" si="2"/>
        <v>0</v>
      </c>
      <c r="AN38" s="296">
        <v>6871.857</v>
      </c>
      <c r="AO38" s="381"/>
    </row>
    <row r="39" spans="1:41" ht="81" x14ac:dyDescent="0.3">
      <c r="A39" s="383" t="s">
        <v>441</v>
      </c>
      <c r="B39" s="381" t="s">
        <v>824</v>
      </c>
      <c r="C39" s="381"/>
      <c r="D39" s="381" t="s">
        <v>474</v>
      </c>
      <c r="E39" s="381" t="s">
        <v>483</v>
      </c>
      <c r="F39" s="381"/>
      <c r="G39" s="381"/>
      <c r="H39" s="381"/>
      <c r="I39" s="381"/>
      <c r="J39" s="381"/>
      <c r="K39" s="381"/>
      <c r="L39" s="381"/>
      <c r="M39" s="381"/>
      <c r="N39" s="381"/>
      <c r="O39" s="381"/>
      <c r="P39" s="381">
        <v>2025</v>
      </c>
      <c r="Q39" s="374">
        <v>46022</v>
      </c>
      <c r="R39" s="373">
        <v>246.81399999999999</v>
      </c>
      <c r="S39" s="296">
        <v>10.095000000000001</v>
      </c>
      <c r="T39" s="296">
        <f t="shared" si="0"/>
        <v>236.71899999999999</v>
      </c>
      <c r="U39" s="296"/>
      <c r="V39" s="296"/>
      <c r="W39" s="296"/>
      <c r="X39" s="296">
        <f t="shared" si="1"/>
        <v>246.81399999999999</v>
      </c>
      <c r="Y39" s="381"/>
      <c r="Z39" s="381"/>
      <c r="AA39" s="381"/>
      <c r="AB39" s="381"/>
      <c r="AC39" s="381"/>
      <c r="AD39" s="381"/>
      <c r="AE39" s="381"/>
      <c r="AF39" s="381"/>
      <c r="AG39" s="381"/>
      <c r="AH39" s="381"/>
      <c r="AI39" s="381"/>
      <c r="AJ39" s="381"/>
      <c r="AK39" s="381"/>
      <c r="AL39" s="381"/>
      <c r="AM39" s="296">
        <f t="shared" si="2"/>
        <v>246.81399999999999</v>
      </c>
      <c r="AN39" s="296"/>
      <c r="AO39" s="381"/>
    </row>
    <row r="40" spans="1:41" ht="81" x14ac:dyDescent="0.3">
      <c r="A40" s="383" t="s">
        <v>442</v>
      </c>
      <c r="B40" s="381" t="s">
        <v>825</v>
      </c>
      <c r="C40" s="381"/>
      <c r="D40" s="381" t="s">
        <v>475</v>
      </c>
      <c r="E40" s="381" t="s">
        <v>483</v>
      </c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>
        <v>2025</v>
      </c>
      <c r="Q40" s="374">
        <v>46022</v>
      </c>
      <c r="R40" s="373">
        <v>331.10500000000002</v>
      </c>
      <c r="S40" s="296">
        <v>14.337</v>
      </c>
      <c r="T40" s="296">
        <f t="shared" si="0"/>
        <v>316.76800000000003</v>
      </c>
      <c r="U40" s="296"/>
      <c r="V40" s="296"/>
      <c r="W40" s="296"/>
      <c r="X40" s="296">
        <f t="shared" si="1"/>
        <v>331.10500000000002</v>
      </c>
      <c r="Y40" s="381"/>
      <c r="Z40" s="381"/>
      <c r="AA40" s="381"/>
      <c r="AB40" s="381"/>
      <c r="AC40" s="381"/>
      <c r="AD40" s="381"/>
      <c r="AE40" s="381"/>
      <c r="AF40" s="381"/>
      <c r="AG40" s="381"/>
      <c r="AH40" s="381"/>
      <c r="AI40" s="381"/>
      <c r="AJ40" s="381"/>
      <c r="AK40" s="381"/>
      <c r="AL40" s="381"/>
      <c r="AM40" s="296">
        <f t="shared" si="2"/>
        <v>331.10500000000002</v>
      </c>
      <c r="AN40" s="296"/>
      <c r="AO40" s="381"/>
    </row>
    <row r="41" spans="1:41" ht="81" x14ac:dyDescent="0.3">
      <c r="A41" s="383" t="s">
        <v>443</v>
      </c>
      <c r="B41" s="381" t="s">
        <v>826</v>
      </c>
      <c r="C41" s="381"/>
      <c r="D41" s="381" t="s">
        <v>476</v>
      </c>
      <c r="E41" s="381" t="s">
        <v>483</v>
      </c>
      <c r="F41" s="381"/>
      <c r="G41" s="381"/>
      <c r="H41" s="381"/>
      <c r="I41" s="381"/>
      <c r="J41" s="381"/>
      <c r="K41" s="381"/>
      <c r="L41" s="381"/>
      <c r="M41" s="381"/>
      <c r="N41" s="381"/>
      <c r="O41" s="381"/>
      <c r="P41" s="381">
        <v>2025</v>
      </c>
      <c r="Q41" s="374">
        <v>46022</v>
      </c>
      <c r="R41" s="373">
        <v>438.80399999999997</v>
      </c>
      <c r="S41" s="296">
        <v>19.483000000000001</v>
      </c>
      <c r="T41" s="296">
        <f t="shared" si="0"/>
        <v>419.32099999999997</v>
      </c>
      <c r="U41" s="296"/>
      <c r="V41" s="296"/>
      <c r="W41" s="296"/>
      <c r="X41" s="296">
        <f t="shared" si="1"/>
        <v>438.80399999999997</v>
      </c>
      <c r="Y41" s="381"/>
      <c r="Z41" s="381"/>
      <c r="AA41" s="381"/>
      <c r="AB41" s="381"/>
      <c r="AC41" s="381"/>
      <c r="AD41" s="381"/>
      <c r="AE41" s="381"/>
      <c r="AF41" s="381"/>
      <c r="AG41" s="381"/>
      <c r="AH41" s="381"/>
      <c r="AI41" s="381"/>
      <c r="AJ41" s="381"/>
      <c r="AK41" s="381"/>
      <c r="AL41" s="381"/>
      <c r="AM41" s="296">
        <f t="shared" si="2"/>
        <v>438.80399999999997</v>
      </c>
      <c r="AN41" s="296"/>
      <c r="AO41" s="381"/>
    </row>
    <row r="42" spans="1:41" ht="81" x14ac:dyDescent="0.3">
      <c r="A42" s="383" t="s">
        <v>444</v>
      </c>
      <c r="B42" s="381" t="s">
        <v>827</v>
      </c>
      <c r="C42" s="381"/>
      <c r="D42" s="381" t="s">
        <v>477</v>
      </c>
      <c r="E42" s="381" t="s">
        <v>483</v>
      </c>
      <c r="F42" s="381"/>
      <c r="G42" s="381"/>
      <c r="H42" s="381"/>
      <c r="I42" s="381"/>
      <c r="J42" s="381"/>
      <c r="K42" s="381"/>
      <c r="L42" s="381"/>
      <c r="M42" s="381"/>
      <c r="N42" s="381"/>
      <c r="O42" s="381"/>
      <c r="P42" s="381">
        <v>2025</v>
      </c>
      <c r="Q42" s="374">
        <v>46022</v>
      </c>
      <c r="R42" s="373">
        <v>443.54</v>
      </c>
      <c r="S42" s="296">
        <v>20.314</v>
      </c>
      <c r="T42" s="296">
        <f t="shared" si="0"/>
        <v>423.226</v>
      </c>
      <c r="U42" s="296"/>
      <c r="V42" s="296"/>
      <c r="W42" s="296"/>
      <c r="X42" s="296">
        <f t="shared" si="1"/>
        <v>443.54</v>
      </c>
      <c r="Y42" s="381"/>
      <c r="Z42" s="381"/>
      <c r="AA42" s="381"/>
      <c r="AB42" s="381"/>
      <c r="AC42" s="381"/>
      <c r="AD42" s="381"/>
      <c r="AE42" s="381"/>
      <c r="AF42" s="381"/>
      <c r="AG42" s="381"/>
      <c r="AH42" s="381"/>
      <c r="AI42" s="381"/>
      <c r="AJ42" s="381"/>
      <c r="AK42" s="381"/>
      <c r="AL42" s="381"/>
      <c r="AM42" s="296">
        <f t="shared" si="2"/>
        <v>443.54</v>
      </c>
      <c r="AN42" s="296"/>
      <c r="AO42" s="381"/>
    </row>
    <row r="43" spans="1:41" ht="60.75" x14ac:dyDescent="0.3">
      <c r="A43" s="383" t="s">
        <v>445</v>
      </c>
      <c r="B43" s="381" t="s">
        <v>828</v>
      </c>
      <c r="C43" s="381"/>
      <c r="D43" s="381" t="s">
        <v>478</v>
      </c>
      <c r="E43" s="381" t="s">
        <v>484</v>
      </c>
      <c r="F43" s="381"/>
      <c r="G43" s="381"/>
      <c r="H43" s="381"/>
      <c r="I43" s="381"/>
      <c r="J43" s="381"/>
      <c r="K43" s="381"/>
      <c r="L43" s="381"/>
      <c r="M43" s="381"/>
      <c r="N43" s="381"/>
      <c r="O43" s="381"/>
      <c r="P43" s="381">
        <v>2025</v>
      </c>
      <c r="Q43" s="374">
        <v>46022</v>
      </c>
      <c r="R43" s="373">
        <v>183.6</v>
      </c>
      <c r="S43" s="296">
        <v>8.4819999999999993</v>
      </c>
      <c r="T43" s="296">
        <f t="shared" si="0"/>
        <v>175.11799999999999</v>
      </c>
      <c r="U43" s="296"/>
      <c r="V43" s="296"/>
      <c r="W43" s="296"/>
      <c r="X43" s="296">
        <f t="shared" si="1"/>
        <v>183.6</v>
      </c>
      <c r="Y43" s="381"/>
      <c r="Z43" s="381"/>
      <c r="AA43" s="381"/>
      <c r="AB43" s="381"/>
      <c r="AC43" s="381"/>
      <c r="AD43" s="381"/>
      <c r="AE43" s="381"/>
      <c r="AF43" s="381"/>
      <c r="AG43" s="381"/>
      <c r="AH43" s="381"/>
      <c r="AI43" s="381"/>
      <c r="AJ43" s="381"/>
      <c r="AK43" s="381"/>
      <c r="AL43" s="381"/>
      <c r="AM43" s="296">
        <f t="shared" si="2"/>
        <v>183.6</v>
      </c>
      <c r="AN43" s="296"/>
      <c r="AO43" s="381"/>
    </row>
    <row r="44" spans="1:41" ht="141.75" x14ac:dyDescent="0.3">
      <c r="A44" s="383" t="s">
        <v>446</v>
      </c>
      <c r="B44" s="381" t="s">
        <v>829</v>
      </c>
      <c r="C44" s="381" t="s">
        <v>495</v>
      </c>
      <c r="D44" s="381" t="s">
        <v>479</v>
      </c>
      <c r="E44" s="381" t="s">
        <v>485</v>
      </c>
      <c r="F44" s="381"/>
      <c r="G44" s="381"/>
      <c r="H44" s="381"/>
      <c r="I44" s="381"/>
      <c r="J44" s="381"/>
      <c r="K44" s="381">
        <v>108</v>
      </c>
      <c r="L44" s="381"/>
      <c r="M44" s="381">
        <v>7.0000000000000007E-2</v>
      </c>
      <c r="N44" s="381" t="s">
        <v>497</v>
      </c>
      <c r="O44" s="381"/>
      <c r="P44" s="381">
        <v>2025</v>
      </c>
      <c r="Q44" s="374">
        <v>46022</v>
      </c>
      <c r="R44" s="373">
        <v>686.88499999999999</v>
      </c>
      <c r="S44" s="296">
        <v>29.742000000000001</v>
      </c>
      <c r="T44" s="296">
        <f t="shared" si="0"/>
        <v>657.14300000000003</v>
      </c>
      <c r="U44" s="296"/>
      <c r="V44" s="296"/>
      <c r="W44" s="296"/>
      <c r="X44" s="296">
        <f t="shared" si="1"/>
        <v>686.88499999999999</v>
      </c>
      <c r="Y44" s="381"/>
      <c r="Z44" s="381"/>
      <c r="AA44" s="381"/>
      <c r="AB44" s="381"/>
      <c r="AC44" s="381"/>
      <c r="AD44" s="381"/>
      <c r="AE44" s="381"/>
      <c r="AF44" s="381"/>
      <c r="AG44" s="381"/>
      <c r="AH44" s="381"/>
      <c r="AI44" s="381"/>
      <c r="AJ44" s="381"/>
      <c r="AK44" s="381"/>
      <c r="AL44" s="381"/>
      <c r="AM44" s="296">
        <f t="shared" si="2"/>
        <v>686.88499999999999</v>
      </c>
      <c r="AN44" s="296"/>
      <c r="AO44" s="381"/>
    </row>
    <row r="45" spans="1:41" ht="81" x14ac:dyDescent="0.3">
      <c r="A45" s="383" t="s">
        <v>447</v>
      </c>
      <c r="B45" s="381" t="s">
        <v>830</v>
      </c>
      <c r="C45" s="381"/>
      <c r="D45" s="381" t="s">
        <v>473</v>
      </c>
      <c r="E45" s="381" t="s">
        <v>486</v>
      </c>
      <c r="F45" s="381"/>
      <c r="G45" s="381"/>
      <c r="H45" s="381"/>
      <c r="I45" s="381"/>
      <c r="J45" s="381"/>
      <c r="K45" s="381"/>
      <c r="L45" s="381"/>
      <c r="M45" s="381"/>
      <c r="N45" s="381"/>
      <c r="O45" s="381">
        <v>1.72</v>
      </c>
      <c r="P45" s="381">
        <v>2025</v>
      </c>
      <c r="Q45" s="374">
        <v>46022</v>
      </c>
      <c r="R45" s="373">
        <v>22835.973999999998</v>
      </c>
      <c r="S45" s="296">
        <v>1963.894</v>
      </c>
      <c r="T45" s="296">
        <f t="shared" si="0"/>
        <v>20872.079999999998</v>
      </c>
      <c r="U45" s="296"/>
      <c r="V45" s="296"/>
      <c r="W45" s="296"/>
      <c r="X45" s="296">
        <f t="shared" si="1"/>
        <v>22835.973999999998</v>
      </c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  <c r="AI45" s="381"/>
      <c r="AJ45" s="381"/>
      <c r="AK45" s="381"/>
      <c r="AL45" s="381"/>
      <c r="AM45" s="296">
        <f t="shared" si="2"/>
        <v>22835.973999999998</v>
      </c>
      <c r="AN45" s="296"/>
      <c r="AO45" s="381"/>
    </row>
    <row r="46" spans="1:41" ht="81" x14ac:dyDescent="0.3">
      <c r="A46" s="383" t="s">
        <v>448</v>
      </c>
      <c r="B46" s="381" t="s">
        <v>831</v>
      </c>
      <c r="C46" s="381"/>
      <c r="D46" s="381" t="s">
        <v>474</v>
      </c>
      <c r="E46" s="381" t="s">
        <v>486</v>
      </c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>
        <v>2025</v>
      </c>
      <c r="Q46" s="374">
        <v>46022</v>
      </c>
      <c r="R46" s="373">
        <v>261.084</v>
      </c>
      <c r="S46" s="296">
        <v>10.678000000000001</v>
      </c>
      <c r="T46" s="296">
        <f t="shared" si="0"/>
        <v>250.40600000000001</v>
      </c>
      <c r="U46" s="296"/>
      <c r="V46" s="296"/>
      <c r="W46" s="296"/>
      <c r="X46" s="296">
        <f t="shared" si="1"/>
        <v>261.084</v>
      </c>
      <c r="Y46" s="381"/>
      <c r="Z46" s="381"/>
      <c r="AA46" s="381"/>
      <c r="AB46" s="381"/>
      <c r="AC46" s="381"/>
      <c r="AD46" s="381"/>
      <c r="AE46" s="381"/>
      <c r="AF46" s="381"/>
      <c r="AG46" s="381"/>
      <c r="AH46" s="381"/>
      <c r="AI46" s="381"/>
      <c r="AJ46" s="381"/>
      <c r="AK46" s="381"/>
      <c r="AL46" s="381"/>
      <c r="AM46" s="296">
        <f t="shared" si="2"/>
        <v>261.084</v>
      </c>
      <c r="AN46" s="296"/>
      <c r="AO46" s="381"/>
    </row>
    <row r="47" spans="1:41" ht="81" x14ac:dyDescent="0.3">
      <c r="A47" s="383" t="s">
        <v>449</v>
      </c>
      <c r="B47" s="381" t="s">
        <v>832</v>
      </c>
      <c r="C47" s="381"/>
      <c r="D47" s="381" t="s">
        <v>475</v>
      </c>
      <c r="E47" s="381" t="s">
        <v>486</v>
      </c>
      <c r="F47" s="381"/>
      <c r="G47" s="381"/>
      <c r="H47" s="381"/>
      <c r="I47" s="381"/>
      <c r="J47" s="381"/>
      <c r="K47" s="381"/>
      <c r="L47" s="381"/>
      <c r="M47" s="381"/>
      <c r="N47" s="381"/>
      <c r="O47" s="381"/>
      <c r="P47" s="381">
        <v>2025</v>
      </c>
      <c r="Q47" s="374">
        <v>46022</v>
      </c>
      <c r="R47" s="373">
        <v>278.892</v>
      </c>
      <c r="S47" s="296">
        <v>14.949</v>
      </c>
      <c r="T47" s="296">
        <f t="shared" si="0"/>
        <v>263.94299999999998</v>
      </c>
      <c r="U47" s="296"/>
      <c r="V47" s="296"/>
      <c r="W47" s="296"/>
      <c r="X47" s="296">
        <f t="shared" si="1"/>
        <v>278.892</v>
      </c>
      <c r="Y47" s="381"/>
      <c r="Z47" s="381"/>
      <c r="AA47" s="381"/>
      <c r="AB47" s="381"/>
      <c r="AC47" s="381"/>
      <c r="AD47" s="381"/>
      <c r="AE47" s="381"/>
      <c r="AF47" s="381"/>
      <c r="AG47" s="381"/>
      <c r="AH47" s="381"/>
      <c r="AI47" s="381"/>
      <c r="AJ47" s="381"/>
      <c r="AK47" s="381"/>
      <c r="AL47" s="381"/>
      <c r="AM47" s="296">
        <f t="shared" si="2"/>
        <v>278.892</v>
      </c>
      <c r="AN47" s="296"/>
      <c r="AO47" s="381"/>
    </row>
    <row r="48" spans="1:41" ht="81" x14ac:dyDescent="0.3">
      <c r="A48" s="383" t="s">
        <v>450</v>
      </c>
      <c r="B48" s="381" t="s">
        <v>833</v>
      </c>
      <c r="C48" s="381"/>
      <c r="D48" s="381" t="s">
        <v>476</v>
      </c>
      <c r="E48" s="381" t="s">
        <v>487</v>
      </c>
      <c r="F48" s="381"/>
      <c r="G48" s="381"/>
      <c r="H48" s="381"/>
      <c r="I48" s="381"/>
      <c r="J48" s="381"/>
      <c r="K48" s="381"/>
      <c r="L48" s="381"/>
      <c r="M48" s="381"/>
      <c r="N48" s="381"/>
      <c r="O48" s="381"/>
      <c r="P48" s="381">
        <v>2025</v>
      </c>
      <c r="Q48" s="374">
        <v>46022</v>
      </c>
      <c r="R48" s="373">
        <v>438.80399999999997</v>
      </c>
      <c r="S48" s="296">
        <v>19.483000000000001</v>
      </c>
      <c r="T48" s="296">
        <f t="shared" si="0"/>
        <v>419.32099999999997</v>
      </c>
      <c r="U48" s="296"/>
      <c r="V48" s="296"/>
      <c r="W48" s="296"/>
      <c r="X48" s="296">
        <f t="shared" si="1"/>
        <v>438.80399999999997</v>
      </c>
      <c r="Y48" s="381"/>
      <c r="Z48" s="381"/>
      <c r="AA48" s="381"/>
      <c r="AB48" s="381"/>
      <c r="AC48" s="381"/>
      <c r="AD48" s="381"/>
      <c r="AE48" s="381"/>
      <c r="AF48" s="381"/>
      <c r="AG48" s="381"/>
      <c r="AH48" s="381"/>
      <c r="AI48" s="381"/>
      <c r="AJ48" s="381"/>
      <c r="AK48" s="381"/>
      <c r="AL48" s="381"/>
      <c r="AM48" s="296">
        <f t="shared" si="2"/>
        <v>438.80399999999997</v>
      </c>
      <c r="AN48" s="296"/>
      <c r="AO48" s="381"/>
    </row>
    <row r="49" spans="1:41" ht="81" x14ac:dyDescent="0.3">
      <c r="A49" s="383" t="s">
        <v>451</v>
      </c>
      <c r="B49" s="381" t="s">
        <v>834</v>
      </c>
      <c r="C49" s="381"/>
      <c r="D49" s="381" t="s">
        <v>477</v>
      </c>
      <c r="E49" s="381" t="s">
        <v>486</v>
      </c>
      <c r="F49" s="381"/>
      <c r="G49" s="381"/>
      <c r="H49" s="381"/>
      <c r="I49" s="381"/>
      <c r="J49" s="381"/>
      <c r="K49" s="381"/>
      <c r="L49" s="381"/>
      <c r="M49" s="381"/>
      <c r="N49" s="381"/>
      <c r="O49" s="381"/>
      <c r="P49" s="381">
        <v>2025</v>
      </c>
      <c r="Q49" s="374">
        <v>46022</v>
      </c>
      <c r="R49" s="373">
        <v>443.54</v>
      </c>
      <c r="S49" s="296">
        <v>20.314</v>
      </c>
      <c r="T49" s="296">
        <f t="shared" si="0"/>
        <v>423.226</v>
      </c>
      <c r="U49" s="296"/>
      <c r="V49" s="296"/>
      <c r="W49" s="296"/>
      <c r="X49" s="296">
        <f t="shared" si="1"/>
        <v>443.54</v>
      </c>
      <c r="Y49" s="381"/>
      <c r="Z49" s="381"/>
      <c r="AA49" s="381"/>
      <c r="AB49" s="381"/>
      <c r="AC49" s="381"/>
      <c r="AD49" s="381"/>
      <c r="AE49" s="381"/>
      <c r="AF49" s="381"/>
      <c r="AG49" s="381"/>
      <c r="AH49" s="381"/>
      <c r="AI49" s="381"/>
      <c r="AJ49" s="381"/>
      <c r="AK49" s="381"/>
      <c r="AL49" s="381"/>
      <c r="AM49" s="296">
        <f t="shared" si="2"/>
        <v>443.54</v>
      </c>
      <c r="AN49" s="296"/>
      <c r="AO49" s="381"/>
    </row>
    <row r="50" spans="1:41" ht="60.75" x14ac:dyDescent="0.3">
      <c r="A50" s="383" t="s">
        <v>452</v>
      </c>
      <c r="B50" s="381" t="s">
        <v>835</v>
      </c>
      <c r="C50" s="381"/>
      <c r="D50" s="381" t="s">
        <v>478</v>
      </c>
      <c r="E50" s="381" t="s">
        <v>488</v>
      </c>
      <c r="F50" s="381"/>
      <c r="G50" s="381"/>
      <c r="H50" s="381"/>
      <c r="I50" s="381"/>
      <c r="J50" s="381"/>
      <c r="K50" s="381"/>
      <c r="L50" s="381"/>
      <c r="M50" s="381"/>
      <c r="N50" s="381"/>
      <c r="O50" s="381"/>
      <c r="P50" s="381">
        <v>2025</v>
      </c>
      <c r="Q50" s="374">
        <v>46022</v>
      </c>
      <c r="R50" s="373">
        <v>183.6</v>
      </c>
      <c r="S50" s="296">
        <v>8.4819999999999993</v>
      </c>
      <c r="T50" s="296">
        <f t="shared" si="0"/>
        <v>175.11799999999999</v>
      </c>
      <c r="U50" s="296"/>
      <c r="V50" s="296"/>
      <c r="W50" s="296"/>
      <c r="X50" s="296">
        <f t="shared" si="1"/>
        <v>183.6</v>
      </c>
      <c r="Y50" s="381"/>
      <c r="Z50" s="381"/>
      <c r="AA50" s="381"/>
      <c r="AB50" s="381"/>
      <c r="AC50" s="381"/>
      <c r="AD50" s="381"/>
      <c r="AE50" s="381"/>
      <c r="AF50" s="381"/>
      <c r="AG50" s="381"/>
      <c r="AH50" s="381"/>
      <c r="AI50" s="381"/>
      <c r="AJ50" s="381"/>
      <c r="AK50" s="381"/>
      <c r="AL50" s="381"/>
      <c r="AM50" s="296">
        <f t="shared" si="2"/>
        <v>183.6</v>
      </c>
      <c r="AN50" s="296"/>
      <c r="AO50" s="381"/>
    </row>
    <row r="51" spans="1:41" ht="101.25" x14ac:dyDescent="0.3">
      <c r="A51" s="383" t="s">
        <v>453</v>
      </c>
      <c r="B51" s="381" t="s">
        <v>469</v>
      </c>
      <c r="C51" s="381"/>
      <c r="D51" s="381" t="s">
        <v>479</v>
      </c>
      <c r="E51" s="381" t="s">
        <v>486</v>
      </c>
      <c r="F51" s="381"/>
      <c r="G51" s="381"/>
      <c r="H51" s="381"/>
      <c r="I51" s="381"/>
      <c r="J51" s="381"/>
      <c r="K51" s="381">
        <v>159</v>
      </c>
      <c r="L51" s="381"/>
      <c r="M51" s="381">
        <v>0.1</v>
      </c>
      <c r="N51" s="381" t="s">
        <v>497</v>
      </c>
      <c r="O51" s="381"/>
      <c r="P51" s="381">
        <v>2025</v>
      </c>
      <c r="Q51" s="374">
        <v>46022</v>
      </c>
      <c r="R51" s="373">
        <v>1285.4100000000001</v>
      </c>
      <c r="S51" s="296">
        <v>53.859000000000002</v>
      </c>
      <c r="T51" s="296">
        <f t="shared" si="0"/>
        <v>1231.5510000000002</v>
      </c>
      <c r="U51" s="296"/>
      <c r="V51" s="296"/>
      <c r="W51" s="296"/>
      <c r="X51" s="296">
        <f t="shared" si="1"/>
        <v>1285.4100000000001</v>
      </c>
      <c r="Y51" s="381"/>
      <c r="Z51" s="381"/>
      <c r="AA51" s="381"/>
      <c r="AB51" s="381"/>
      <c r="AC51" s="381"/>
      <c r="AD51" s="381"/>
      <c r="AE51" s="381"/>
      <c r="AF51" s="381"/>
      <c r="AG51" s="381"/>
      <c r="AH51" s="381"/>
      <c r="AI51" s="381"/>
      <c r="AJ51" s="381"/>
      <c r="AK51" s="381"/>
      <c r="AL51" s="381"/>
      <c r="AM51" s="296">
        <f t="shared" si="2"/>
        <v>1285.4100000000001</v>
      </c>
      <c r="AN51" s="296"/>
      <c r="AO51" s="381"/>
    </row>
    <row r="52" spans="1:41" ht="121.5" x14ac:dyDescent="0.3">
      <c r="A52" s="383" t="s">
        <v>454</v>
      </c>
      <c r="B52" s="381" t="s">
        <v>470</v>
      </c>
      <c r="C52" s="381"/>
      <c r="D52" s="381" t="s">
        <v>479</v>
      </c>
      <c r="E52" s="381" t="s">
        <v>486</v>
      </c>
      <c r="F52" s="381"/>
      <c r="G52" s="381"/>
      <c r="H52" s="381"/>
      <c r="I52" s="381"/>
      <c r="J52" s="381"/>
      <c r="K52" s="381">
        <v>133</v>
      </c>
      <c r="L52" s="381"/>
      <c r="M52" s="381">
        <v>3.4000000000000002E-2</v>
      </c>
      <c r="N52" s="381" t="s">
        <v>497</v>
      </c>
      <c r="O52" s="381"/>
      <c r="P52" s="381">
        <v>2025</v>
      </c>
      <c r="Q52" s="374">
        <v>46022</v>
      </c>
      <c r="R52" s="373">
        <v>392.89600000000002</v>
      </c>
      <c r="S52" s="296">
        <v>17.013000000000002</v>
      </c>
      <c r="T52" s="296">
        <f t="shared" si="0"/>
        <v>375.88300000000004</v>
      </c>
      <c r="U52" s="296"/>
      <c r="V52" s="296"/>
      <c r="W52" s="296"/>
      <c r="X52" s="296">
        <f t="shared" si="1"/>
        <v>392.89600000000002</v>
      </c>
      <c r="Y52" s="381"/>
      <c r="Z52" s="381"/>
      <c r="AA52" s="381"/>
      <c r="AB52" s="381"/>
      <c r="AC52" s="381"/>
      <c r="AD52" s="381"/>
      <c r="AE52" s="381"/>
      <c r="AF52" s="381"/>
      <c r="AG52" s="381"/>
      <c r="AH52" s="381"/>
      <c r="AI52" s="381"/>
      <c r="AJ52" s="381"/>
      <c r="AK52" s="381"/>
      <c r="AL52" s="381"/>
      <c r="AM52" s="296">
        <f t="shared" si="2"/>
        <v>392.89600000000002</v>
      </c>
      <c r="AN52" s="296"/>
      <c r="AO52" s="381"/>
    </row>
    <row r="53" spans="1:41" ht="141.75" x14ac:dyDescent="0.3">
      <c r="A53" s="383" t="s">
        <v>455</v>
      </c>
      <c r="B53" s="381" t="s">
        <v>471</v>
      </c>
      <c r="C53" s="381"/>
      <c r="D53" s="381" t="s">
        <v>479</v>
      </c>
      <c r="E53" s="381" t="s">
        <v>486</v>
      </c>
      <c r="F53" s="381"/>
      <c r="G53" s="381"/>
      <c r="H53" s="381"/>
      <c r="I53" s="381"/>
      <c r="J53" s="381"/>
      <c r="K53" s="381">
        <v>108</v>
      </c>
      <c r="L53" s="381"/>
      <c r="M53" s="381">
        <v>4.3999999999999997E-2</v>
      </c>
      <c r="N53" s="381" t="s">
        <v>497</v>
      </c>
      <c r="O53" s="381"/>
      <c r="P53" s="381">
        <v>2025</v>
      </c>
      <c r="Q53" s="374">
        <v>46022</v>
      </c>
      <c r="R53" s="373">
        <v>458.15800000000002</v>
      </c>
      <c r="S53" s="296">
        <v>19.838999999999999</v>
      </c>
      <c r="T53" s="296">
        <f t="shared" si="0"/>
        <v>438.31900000000002</v>
      </c>
      <c r="U53" s="296"/>
      <c r="V53" s="296"/>
      <c r="W53" s="296"/>
      <c r="X53" s="296">
        <f t="shared" si="1"/>
        <v>458.15800000000002</v>
      </c>
      <c r="Y53" s="381"/>
      <c r="Z53" s="381"/>
      <c r="AA53" s="381"/>
      <c r="AB53" s="381"/>
      <c r="AC53" s="381"/>
      <c r="AD53" s="381"/>
      <c r="AE53" s="381"/>
      <c r="AF53" s="381"/>
      <c r="AG53" s="381"/>
      <c r="AH53" s="381"/>
      <c r="AI53" s="381"/>
      <c r="AJ53" s="381"/>
      <c r="AK53" s="381"/>
      <c r="AL53" s="381"/>
      <c r="AM53" s="296">
        <f t="shared" si="2"/>
        <v>458.15800000000002</v>
      </c>
      <c r="AN53" s="296"/>
      <c r="AO53" s="381"/>
    </row>
    <row r="54" spans="1:41" ht="81" x14ac:dyDescent="0.3">
      <c r="A54" s="383" t="s">
        <v>456</v>
      </c>
      <c r="B54" s="381" t="s">
        <v>836</v>
      </c>
      <c r="C54" s="381" t="s">
        <v>496</v>
      </c>
      <c r="D54" s="381" t="s">
        <v>473</v>
      </c>
      <c r="E54" s="381" t="s">
        <v>489</v>
      </c>
      <c r="F54" s="381"/>
      <c r="G54" s="381"/>
      <c r="H54" s="381"/>
      <c r="I54" s="381"/>
      <c r="J54" s="381"/>
      <c r="K54" s="381"/>
      <c r="L54" s="381"/>
      <c r="M54" s="381"/>
      <c r="N54" s="381"/>
      <c r="O54" s="381">
        <v>0.34</v>
      </c>
      <c r="P54" s="381">
        <v>2025</v>
      </c>
      <c r="Q54" s="374">
        <v>46022</v>
      </c>
      <c r="R54" s="373">
        <v>6871.857</v>
      </c>
      <c r="S54" s="296">
        <v>505.76900000000001</v>
      </c>
      <c r="T54" s="296">
        <f t="shared" si="0"/>
        <v>6366.0879999999997</v>
      </c>
      <c r="U54" s="296"/>
      <c r="V54" s="296"/>
      <c r="W54" s="296"/>
      <c r="X54" s="296">
        <f t="shared" si="1"/>
        <v>6871.857</v>
      </c>
      <c r="Y54" s="381"/>
      <c r="Z54" s="381"/>
      <c r="AA54" s="381"/>
      <c r="AB54" s="381"/>
      <c r="AC54" s="381"/>
      <c r="AD54" s="381"/>
      <c r="AE54" s="381"/>
      <c r="AF54" s="381"/>
      <c r="AG54" s="381"/>
      <c r="AH54" s="381"/>
      <c r="AI54" s="381"/>
      <c r="AJ54" s="381"/>
      <c r="AK54" s="381"/>
      <c r="AL54" s="381"/>
      <c r="AM54" s="296">
        <f t="shared" si="2"/>
        <v>0</v>
      </c>
      <c r="AN54" s="296">
        <v>6871.857</v>
      </c>
      <c r="AO54" s="381"/>
    </row>
    <row r="55" spans="1:41" ht="81" x14ac:dyDescent="0.3">
      <c r="A55" s="383" t="s">
        <v>457</v>
      </c>
      <c r="B55" s="381" t="s">
        <v>837</v>
      </c>
      <c r="C55" s="381"/>
      <c r="D55" s="381" t="s">
        <v>474</v>
      </c>
      <c r="E55" s="381" t="s">
        <v>490</v>
      </c>
      <c r="F55" s="381"/>
      <c r="G55" s="381"/>
      <c r="H55" s="381"/>
      <c r="I55" s="381"/>
      <c r="J55" s="381"/>
      <c r="K55" s="381"/>
      <c r="L55" s="381"/>
      <c r="M55" s="381"/>
      <c r="N55" s="381"/>
      <c r="O55" s="381"/>
      <c r="P55" s="381">
        <v>2025</v>
      </c>
      <c r="Q55" s="374">
        <v>46022</v>
      </c>
      <c r="R55" s="373">
        <v>246.81399999999999</v>
      </c>
      <c r="S55" s="296">
        <v>10.095000000000001</v>
      </c>
      <c r="T55" s="296">
        <f t="shared" si="0"/>
        <v>236.71899999999999</v>
      </c>
      <c r="U55" s="296"/>
      <c r="V55" s="296"/>
      <c r="W55" s="296"/>
      <c r="X55" s="296">
        <f t="shared" si="1"/>
        <v>246.81399999999999</v>
      </c>
      <c r="Y55" s="381"/>
      <c r="Z55" s="381"/>
      <c r="AA55" s="381"/>
      <c r="AB55" s="381"/>
      <c r="AC55" s="381"/>
      <c r="AD55" s="381"/>
      <c r="AE55" s="381"/>
      <c r="AF55" s="381"/>
      <c r="AG55" s="381"/>
      <c r="AH55" s="381"/>
      <c r="AI55" s="381"/>
      <c r="AJ55" s="381"/>
      <c r="AK55" s="381"/>
      <c r="AL55" s="381"/>
      <c r="AM55" s="296">
        <f t="shared" si="2"/>
        <v>246.81399999999999</v>
      </c>
      <c r="AN55" s="296"/>
      <c r="AO55" s="381"/>
    </row>
    <row r="56" spans="1:41" ht="84.75" x14ac:dyDescent="0.3">
      <c r="A56" s="383" t="s">
        <v>458</v>
      </c>
      <c r="B56" s="381" t="s">
        <v>908</v>
      </c>
      <c r="C56" s="381"/>
      <c r="D56" s="381" t="s">
        <v>475</v>
      </c>
      <c r="E56" s="381" t="s">
        <v>490</v>
      </c>
      <c r="F56" s="381"/>
      <c r="G56" s="381"/>
      <c r="H56" s="381"/>
      <c r="I56" s="381"/>
      <c r="J56" s="381"/>
      <c r="K56" s="381"/>
      <c r="L56" s="381"/>
      <c r="M56" s="381"/>
      <c r="N56" s="381"/>
      <c r="O56" s="381"/>
      <c r="P56" s="381">
        <v>2025</v>
      </c>
      <c r="Q56" s="374">
        <v>46022</v>
      </c>
      <c r="R56" s="373">
        <v>331.10500000000002</v>
      </c>
      <c r="S56" s="296">
        <v>14.337</v>
      </c>
      <c r="T56" s="296">
        <f t="shared" si="0"/>
        <v>316.76800000000003</v>
      </c>
      <c r="U56" s="296"/>
      <c r="V56" s="296"/>
      <c r="W56" s="296"/>
      <c r="X56" s="296">
        <f t="shared" si="1"/>
        <v>331.10500000000002</v>
      </c>
      <c r="Y56" s="381"/>
      <c r="Z56" s="381"/>
      <c r="AA56" s="381"/>
      <c r="AB56" s="381"/>
      <c r="AC56" s="381"/>
      <c r="AD56" s="381"/>
      <c r="AE56" s="381"/>
      <c r="AF56" s="381"/>
      <c r="AG56" s="381"/>
      <c r="AH56" s="381"/>
      <c r="AI56" s="381"/>
      <c r="AJ56" s="381"/>
      <c r="AK56" s="381"/>
      <c r="AL56" s="381"/>
      <c r="AM56" s="296">
        <f t="shared" si="2"/>
        <v>331.10500000000002</v>
      </c>
      <c r="AN56" s="296"/>
      <c r="AO56" s="381"/>
    </row>
    <row r="57" spans="1:41" ht="81" x14ac:dyDescent="0.3">
      <c r="A57" s="383" t="s">
        <v>459</v>
      </c>
      <c r="B57" s="381" t="s">
        <v>838</v>
      </c>
      <c r="C57" s="381"/>
      <c r="D57" s="381" t="s">
        <v>476</v>
      </c>
      <c r="E57" s="381" t="s">
        <v>490</v>
      </c>
      <c r="F57" s="381"/>
      <c r="G57" s="381"/>
      <c r="H57" s="381"/>
      <c r="I57" s="381"/>
      <c r="J57" s="381"/>
      <c r="K57" s="381"/>
      <c r="L57" s="381"/>
      <c r="M57" s="381"/>
      <c r="N57" s="381"/>
      <c r="O57" s="381"/>
      <c r="P57" s="381">
        <v>2025</v>
      </c>
      <c r="Q57" s="374">
        <v>46022</v>
      </c>
      <c r="R57" s="373">
        <v>438.80399999999997</v>
      </c>
      <c r="S57" s="296">
        <v>19.483000000000001</v>
      </c>
      <c r="T57" s="296">
        <f t="shared" si="0"/>
        <v>419.32099999999997</v>
      </c>
      <c r="U57" s="296"/>
      <c r="V57" s="296"/>
      <c r="W57" s="296"/>
      <c r="X57" s="296">
        <f t="shared" si="1"/>
        <v>438.80399999999997</v>
      </c>
      <c r="Y57" s="381"/>
      <c r="Z57" s="381"/>
      <c r="AA57" s="381"/>
      <c r="AB57" s="381"/>
      <c r="AC57" s="381"/>
      <c r="AD57" s="381"/>
      <c r="AE57" s="381"/>
      <c r="AF57" s="381"/>
      <c r="AG57" s="381"/>
      <c r="AH57" s="381"/>
      <c r="AI57" s="381"/>
      <c r="AJ57" s="381"/>
      <c r="AK57" s="381"/>
      <c r="AL57" s="381"/>
      <c r="AM57" s="296">
        <f t="shared" si="2"/>
        <v>438.80399999999997</v>
      </c>
      <c r="AN57" s="296"/>
      <c r="AO57" s="381"/>
    </row>
    <row r="58" spans="1:41" ht="81" x14ac:dyDescent="0.3">
      <c r="A58" s="383" t="s">
        <v>460</v>
      </c>
      <c r="B58" s="381" t="s">
        <v>839</v>
      </c>
      <c r="C58" s="381"/>
      <c r="D58" s="381" t="s">
        <v>477</v>
      </c>
      <c r="E58" s="381" t="s">
        <v>491</v>
      </c>
      <c r="F58" s="381"/>
      <c r="G58" s="381"/>
      <c r="H58" s="381"/>
      <c r="I58" s="381"/>
      <c r="J58" s="381"/>
      <c r="K58" s="381"/>
      <c r="L58" s="381"/>
      <c r="M58" s="381"/>
      <c r="N58" s="381"/>
      <c r="O58" s="381"/>
      <c r="P58" s="381">
        <v>2025</v>
      </c>
      <c r="Q58" s="374">
        <v>46022</v>
      </c>
      <c r="R58" s="373">
        <v>443.54</v>
      </c>
      <c r="S58" s="296">
        <v>20.314</v>
      </c>
      <c r="T58" s="296">
        <f t="shared" si="0"/>
        <v>423.226</v>
      </c>
      <c r="U58" s="296"/>
      <c r="V58" s="296"/>
      <c r="W58" s="296"/>
      <c r="X58" s="296">
        <f t="shared" si="1"/>
        <v>443.54</v>
      </c>
      <c r="Y58" s="381"/>
      <c r="Z58" s="381"/>
      <c r="AA58" s="381"/>
      <c r="AB58" s="381"/>
      <c r="AC58" s="381"/>
      <c r="AD58" s="381"/>
      <c r="AE58" s="381"/>
      <c r="AF58" s="381"/>
      <c r="AG58" s="381"/>
      <c r="AH58" s="381"/>
      <c r="AI58" s="381"/>
      <c r="AJ58" s="381"/>
      <c r="AK58" s="381"/>
      <c r="AL58" s="381"/>
      <c r="AM58" s="296">
        <f t="shared" si="2"/>
        <v>443.54</v>
      </c>
      <c r="AN58" s="296"/>
      <c r="AO58" s="381"/>
    </row>
    <row r="59" spans="1:41" ht="60.75" x14ac:dyDescent="0.3">
      <c r="A59" s="383" t="s">
        <v>461</v>
      </c>
      <c r="B59" s="381" t="s">
        <v>840</v>
      </c>
      <c r="C59" s="381"/>
      <c r="D59" s="381" t="s">
        <v>478</v>
      </c>
      <c r="E59" s="381" t="s">
        <v>490</v>
      </c>
      <c r="F59" s="381"/>
      <c r="G59" s="381"/>
      <c r="H59" s="381"/>
      <c r="I59" s="381"/>
      <c r="J59" s="381"/>
      <c r="K59" s="381"/>
      <c r="L59" s="381"/>
      <c r="M59" s="381"/>
      <c r="N59" s="381"/>
      <c r="O59" s="381"/>
      <c r="P59" s="381">
        <v>2025</v>
      </c>
      <c r="Q59" s="374">
        <v>46022</v>
      </c>
      <c r="R59" s="373">
        <v>183.601</v>
      </c>
      <c r="S59" s="296">
        <v>8.4090000000000007</v>
      </c>
      <c r="T59" s="296">
        <f t="shared" si="0"/>
        <v>175.19200000000001</v>
      </c>
      <c r="U59" s="296"/>
      <c r="V59" s="296"/>
      <c r="W59" s="296"/>
      <c r="X59" s="296">
        <f t="shared" si="1"/>
        <v>183.601</v>
      </c>
      <c r="Y59" s="381"/>
      <c r="Z59" s="381"/>
      <c r="AA59" s="381"/>
      <c r="AB59" s="381"/>
      <c r="AC59" s="381"/>
      <c r="AD59" s="381"/>
      <c r="AE59" s="381"/>
      <c r="AF59" s="381"/>
      <c r="AG59" s="381"/>
      <c r="AH59" s="381"/>
      <c r="AI59" s="381"/>
      <c r="AJ59" s="381"/>
      <c r="AK59" s="381"/>
      <c r="AL59" s="381"/>
      <c r="AM59" s="296">
        <f t="shared" si="2"/>
        <v>183.601</v>
      </c>
      <c r="AN59" s="296"/>
      <c r="AO59" s="381"/>
    </row>
    <row r="60" spans="1:41" ht="141.75" x14ac:dyDescent="0.3">
      <c r="A60" s="383" t="s">
        <v>462</v>
      </c>
      <c r="B60" s="381" t="s">
        <v>472</v>
      </c>
      <c r="C60" s="381" t="s">
        <v>496</v>
      </c>
      <c r="D60" s="381" t="s">
        <v>479</v>
      </c>
      <c r="E60" s="381" t="s">
        <v>489</v>
      </c>
      <c r="F60" s="381"/>
      <c r="G60" s="381"/>
      <c r="H60" s="381"/>
      <c r="I60" s="381"/>
      <c r="J60" s="381"/>
      <c r="K60" s="381">
        <v>89</v>
      </c>
      <c r="L60" s="381"/>
      <c r="M60" s="381">
        <v>0.09</v>
      </c>
      <c r="N60" s="381" t="s">
        <v>497</v>
      </c>
      <c r="O60" s="381"/>
      <c r="P60" s="381">
        <v>2025</v>
      </c>
      <c r="Q60" s="374">
        <v>46022</v>
      </c>
      <c r="R60" s="373">
        <v>910.89400000000001</v>
      </c>
      <c r="S60" s="296">
        <v>41.719000000000001</v>
      </c>
      <c r="T60" s="296">
        <f t="shared" si="0"/>
        <v>869.17499999999995</v>
      </c>
      <c r="U60" s="296"/>
      <c r="V60" s="296"/>
      <c r="W60" s="296"/>
      <c r="X60" s="296">
        <f t="shared" si="1"/>
        <v>910.89400000000001</v>
      </c>
      <c r="Y60" s="381"/>
      <c r="Z60" s="381"/>
      <c r="AA60" s="381"/>
      <c r="AB60" s="381"/>
      <c r="AC60" s="381"/>
      <c r="AD60" s="381"/>
      <c r="AE60" s="381"/>
      <c r="AF60" s="381"/>
      <c r="AG60" s="381"/>
      <c r="AH60" s="381"/>
      <c r="AI60" s="381"/>
      <c r="AJ60" s="381"/>
      <c r="AK60" s="381"/>
      <c r="AL60" s="381"/>
      <c r="AM60" s="296">
        <f t="shared" si="2"/>
        <v>910.89400000000001</v>
      </c>
      <c r="AN60" s="296"/>
      <c r="AO60" s="381"/>
    </row>
    <row r="61" spans="1:41" ht="18.75" customHeight="1" x14ac:dyDescent="0.3">
      <c r="A61" s="411" t="s">
        <v>127</v>
      </c>
      <c r="B61" s="412"/>
      <c r="C61" s="413"/>
      <c r="D61" s="381"/>
      <c r="E61" s="381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6">
        <f>SUM(R31:R60)</f>
        <v>74671.902999999991</v>
      </c>
      <c r="S61" s="296">
        <f t="shared" ref="S61:AO61" si="3">SUM(S31:S60)</f>
        <v>5810.3100000000013</v>
      </c>
      <c r="T61" s="296">
        <f t="shared" si="3"/>
        <v>68861.592999999993</v>
      </c>
      <c r="U61" s="296">
        <f t="shared" si="3"/>
        <v>0</v>
      </c>
      <c r="V61" s="296">
        <f t="shared" si="3"/>
        <v>0</v>
      </c>
      <c r="W61" s="296">
        <f t="shared" si="3"/>
        <v>0</v>
      </c>
      <c r="X61" s="296">
        <f t="shared" si="3"/>
        <v>74671.902999999991</v>
      </c>
      <c r="Y61" s="296">
        <f t="shared" si="3"/>
        <v>0</v>
      </c>
      <c r="Z61" s="296">
        <f t="shared" si="3"/>
        <v>0</v>
      </c>
      <c r="AA61" s="296">
        <f t="shared" si="3"/>
        <v>0</v>
      </c>
      <c r="AB61" s="296">
        <f t="shared" si="3"/>
        <v>0</v>
      </c>
      <c r="AC61" s="296">
        <f t="shared" si="3"/>
        <v>0</v>
      </c>
      <c r="AD61" s="296">
        <f t="shared" si="3"/>
        <v>0</v>
      </c>
      <c r="AE61" s="296">
        <f t="shared" si="3"/>
        <v>0</v>
      </c>
      <c r="AF61" s="296">
        <f t="shared" si="3"/>
        <v>0</v>
      </c>
      <c r="AG61" s="296">
        <f t="shared" si="3"/>
        <v>0</v>
      </c>
      <c r="AH61" s="296">
        <f t="shared" si="3"/>
        <v>0</v>
      </c>
      <c r="AI61" s="296">
        <f t="shared" si="3"/>
        <v>0</v>
      </c>
      <c r="AJ61" s="296">
        <f t="shared" si="3"/>
        <v>0</v>
      </c>
      <c r="AK61" s="296">
        <f t="shared" si="3"/>
        <v>0</v>
      </c>
      <c r="AL61" s="296">
        <f t="shared" si="3"/>
        <v>0</v>
      </c>
      <c r="AM61" s="296">
        <f t="shared" si="3"/>
        <v>49671.902999999998</v>
      </c>
      <c r="AN61" s="296">
        <f t="shared" si="3"/>
        <v>25000</v>
      </c>
      <c r="AO61" s="296">
        <f t="shared" si="3"/>
        <v>0</v>
      </c>
    </row>
    <row r="62" spans="1:41" ht="24.75" customHeight="1" x14ac:dyDescent="0.3">
      <c r="A62" s="411" t="s">
        <v>128</v>
      </c>
      <c r="B62" s="412"/>
      <c r="C62" s="412"/>
      <c r="D62" s="412"/>
      <c r="E62" s="412"/>
      <c r="F62" s="412"/>
      <c r="G62" s="412"/>
      <c r="H62" s="412"/>
      <c r="I62" s="412"/>
      <c r="J62" s="412"/>
      <c r="K62" s="412"/>
      <c r="L62" s="412"/>
      <c r="M62" s="412"/>
      <c r="N62" s="412"/>
      <c r="O62" s="412"/>
      <c r="P62" s="412"/>
      <c r="Q62" s="412"/>
      <c r="R62" s="412"/>
      <c r="S62" s="413"/>
      <c r="T62" s="381"/>
      <c r="U62" s="381"/>
      <c r="V62" s="381"/>
      <c r="W62" s="381"/>
      <c r="X62" s="381"/>
      <c r="Y62" s="381"/>
      <c r="Z62" s="381"/>
      <c r="AA62" s="381"/>
      <c r="AB62" s="381"/>
      <c r="AC62" s="381"/>
      <c r="AD62" s="381"/>
      <c r="AE62" s="381"/>
      <c r="AF62" s="381"/>
      <c r="AG62" s="381"/>
      <c r="AH62" s="381"/>
      <c r="AI62" s="381"/>
      <c r="AJ62" s="381"/>
      <c r="AK62" s="381"/>
      <c r="AL62" s="381"/>
      <c r="AM62" s="381"/>
      <c r="AN62" s="381"/>
      <c r="AO62" s="381"/>
    </row>
    <row r="63" spans="1:41" ht="24.75" customHeight="1" x14ac:dyDescent="0.3">
      <c r="A63" s="411" t="s">
        <v>129</v>
      </c>
      <c r="B63" s="412"/>
      <c r="C63" s="412"/>
      <c r="D63" s="412"/>
      <c r="E63" s="412"/>
      <c r="F63" s="412"/>
      <c r="G63" s="412"/>
      <c r="H63" s="412"/>
      <c r="I63" s="412"/>
      <c r="J63" s="412"/>
      <c r="K63" s="412"/>
      <c r="L63" s="412"/>
      <c r="M63" s="412"/>
      <c r="N63" s="412"/>
      <c r="O63" s="412"/>
      <c r="P63" s="412"/>
      <c r="Q63" s="412"/>
      <c r="R63" s="379"/>
      <c r="S63" s="379"/>
      <c r="T63" s="379"/>
      <c r="U63" s="379"/>
      <c r="V63" s="379"/>
      <c r="W63" s="379"/>
      <c r="X63" s="379"/>
      <c r="Y63" s="379"/>
      <c r="Z63" s="379"/>
      <c r="AA63" s="379"/>
      <c r="AB63" s="379"/>
      <c r="AC63" s="379"/>
      <c r="AD63" s="379"/>
      <c r="AE63" s="379"/>
      <c r="AF63" s="379"/>
      <c r="AG63" s="379"/>
      <c r="AH63" s="379"/>
      <c r="AI63" s="379"/>
      <c r="AJ63" s="379"/>
      <c r="AK63" s="379"/>
      <c r="AL63" s="379"/>
      <c r="AM63" s="379"/>
      <c r="AN63" s="379"/>
      <c r="AO63" s="380"/>
    </row>
    <row r="64" spans="1:41" ht="121.5" x14ac:dyDescent="0.3">
      <c r="A64" s="383" t="s">
        <v>130</v>
      </c>
      <c r="B64" s="381" t="s">
        <v>528</v>
      </c>
      <c r="C64" s="381" t="s">
        <v>570</v>
      </c>
      <c r="D64" s="381" t="s">
        <v>479</v>
      </c>
      <c r="E64" s="381" t="s">
        <v>574</v>
      </c>
      <c r="F64" s="381">
        <v>45</v>
      </c>
      <c r="G64" s="381"/>
      <c r="H64" s="381">
        <v>0.01</v>
      </c>
      <c r="I64" s="381" t="s">
        <v>581</v>
      </c>
      <c r="J64" s="381"/>
      <c r="K64" s="381">
        <v>25</v>
      </c>
      <c r="L64" s="381"/>
      <c r="M64" s="381">
        <v>0.01</v>
      </c>
      <c r="N64" s="381" t="s">
        <v>581</v>
      </c>
      <c r="O64" s="381"/>
      <c r="P64" s="381">
        <v>2026</v>
      </c>
      <c r="Q64" s="374">
        <v>46387</v>
      </c>
      <c r="R64" s="375">
        <v>98.135999999999996</v>
      </c>
      <c r="S64" s="296"/>
      <c r="T64" s="296">
        <f t="shared" ref="T64:T105" si="4">R64-S64</f>
        <v>98.135999999999996</v>
      </c>
      <c r="U64" s="296"/>
      <c r="V64" s="296"/>
      <c r="W64" s="296"/>
      <c r="X64" s="296"/>
      <c r="Y64" s="296">
        <f>R64</f>
        <v>98.135999999999996</v>
      </c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>
        <f>R64</f>
        <v>98.135999999999996</v>
      </c>
      <c r="AN64" s="296"/>
      <c r="AO64" s="296"/>
    </row>
    <row r="65" spans="1:41" ht="121.5" x14ac:dyDescent="0.3">
      <c r="A65" s="383" t="s">
        <v>131</v>
      </c>
      <c r="B65" s="381" t="s">
        <v>529</v>
      </c>
      <c r="C65" s="381" t="s">
        <v>570</v>
      </c>
      <c r="D65" s="381" t="s">
        <v>479</v>
      </c>
      <c r="E65" s="381" t="s">
        <v>575</v>
      </c>
      <c r="F65" s="381">
        <v>45</v>
      </c>
      <c r="G65" s="381"/>
      <c r="H65" s="381">
        <v>3.6200000000000003E-2</v>
      </c>
      <c r="I65" s="381" t="s">
        <v>581</v>
      </c>
      <c r="J65" s="381"/>
      <c r="K65" s="381">
        <v>25</v>
      </c>
      <c r="L65" s="381"/>
      <c r="M65" s="381">
        <v>3.6200000000000003E-2</v>
      </c>
      <c r="N65" s="381" t="s">
        <v>581</v>
      </c>
      <c r="O65" s="381"/>
      <c r="P65" s="381">
        <v>2026</v>
      </c>
      <c r="Q65" s="374">
        <v>46387</v>
      </c>
      <c r="R65" s="375">
        <v>182.21199999999999</v>
      </c>
      <c r="S65" s="296"/>
      <c r="T65" s="296">
        <f t="shared" si="4"/>
        <v>182.21199999999999</v>
      </c>
      <c r="U65" s="296"/>
      <c r="V65" s="296"/>
      <c r="W65" s="296"/>
      <c r="X65" s="296"/>
      <c r="Y65" s="296">
        <f t="shared" ref="Y65:Y87" si="5">R65</f>
        <v>182.21199999999999</v>
      </c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>
        <f t="shared" ref="AM65:AM105" si="6">R65</f>
        <v>182.21199999999999</v>
      </c>
      <c r="AN65" s="296"/>
      <c r="AO65" s="296"/>
    </row>
    <row r="66" spans="1:41" ht="101.25" x14ac:dyDescent="0.3">
      <c r="A66" s="383" t="s">
        <v>150</v>
      </c>
      <c r="B66" s="381" t="s">
        <v>530</v>
      </c>
      <c r="C66" s="381" t="s">
        <v>570</v>
      </c>
      <c r="D66" s="381" t="s">
        <v>479</v>
      </c>
      <c r="E66" s="381" t="s">
        <v>576</v>
      </c>
      <c r="F66" s="381">
        <v>57</v>
      </c>
      <c r="G66" s="381"/>
      <c r="H66" s="381">
        <v>4.2799999999999998E-2</v>
      </c>
      <c r="I66" s="381" t="s">
        <v>497</v>
      </c>
      <c r="J66" s="381"/>
      <c r="K66" s="381">
        <v>32</v>
      </c>
      <c r="L66" s="381"/>
      <c r="M66" s="381">
        <v>4.2799999999999998E-2</v>
      </c>
      <c r="N66" s="381" t="s">
        <v>497</v>
      </c>
      <c r="O66" s="381"/>
      <c r="P66" s="381">
        <v>2026</v>
      </c>
      <c r="Q66" s="374">
        <v>46387</v>
      </c>
      <c r="R66" s="375">
        <v>210.73</v>
      </c>
      <c r="S66" s="296"/>
      <c r="T66" s="296">
        <f t="shared" si="4"/>
        <v>210.73</v>
      </c>
      <c r="U66" s="296"/>
      <c r="V66" s="296"/>
      <c r="W66" s="296"/>
      <c r="X66" s="296"/>
      <c r="Y66" s="296">
        <f t="shared" si="5"/>
        <v>210.73</v>
      </c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>
        <f t="shared" si="6"/>
        <v>210.73</v>
      </c>
      <c r="AN66" s="296"/>
      <c r="AO66" s="296"/>
    </row>
    <row r="67" spans="1:41" ht="121.5" x14ac:dyDescent="0.3">
      <c r="A67" s="383" t="s">
        <v>151</v>
      </c>
      <c r="B67" s="381" t="s">
        <v>531</v>
      </c>
      <c r="C67" s="381" t="s">
        <v>570</v>
      </c>
      <c r="D67" s="381" t="s">
        <v>479</v>
      </c>
      <c r="E67" s="381" t="s">
        <v>576</v>
      </c>
      <c r="F67" s="381">
        <v>57</v>
      </c>
      <c r="G67" s="381"/>
      <c r="H67" s="381">
        <v>0.12740000000000001</v>
      </c>
      <c r="I67" s="381" t="s">
        <v>581</v>
      </c>
      <c r="J67" s="381"/>
      <c r="K67" s="381">
        <v>38</v>
      </c>
      <c r="L67" s="381"/>
      <c r="M67" s="381">
        <v>0.12740000000000001</v>
      </c>
      <c r="N67" s="381" t="s">
        <v>581</v>
      </c>
      <c r="O67" s="381"/>
      <c r="P67" s="381">
        <v>2026</v>
      </c>
      <c r="Q67" s="374">
        <v>46387</v>
      </c>
      <c r="R67" s="375">
        <v>570.37099999999998</v>
      </c>
      <c r="S67" s="296"/>
      <c r="T67" s="296">
        <f t="shared" si="4"/>
        <v>570.37099999999998</v>
      </c>
      <c r="U67" s="296"/>
      <c r="V67" s="296"/>
      <c r="W67" s="296"/>
      <c r="X67" s="296"/>
      <c r="Y67" s="296">
        <f t="shared" si="5"/>
        <v>570.37099999999998</v>
      </c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>
        <f t="shared" si="6"/>
        <v>570.37099999999998</v>
      </c>
      <c r="AN67" s="296"/>
      <c r="AO67" s="296"/>
    </row>
    <row r="68" spans="1:41" ht="101.25" x14ac:dyDescent="0.3">
      <c r="A68" s="383" t="s">
        <v>152</v>
      </c>
      <c r="B68" s="381" t="s">
        <v>532</v>
      </c>
      <c r="C68" s="381" t="s">
        <v>570</v>
      </c>
      <c r="D68" s="381" t="s">
        <v>479</v>
      </c>
      <c r="E68" s="381" t="s">
        <v>576</v>
      </c>
      <c r="F68" s="381">
        <v>57</v>
      </c>
      <c r="G68" s="381"/>
      <c r="H68" s="381">
        <v>1.24E-2</v>
      </c>
      <c r="I68" s="381" t="s">
        <v>497</v>
      </c>
      <c r="J68" s="381"/>
      <c r="K68" s="381">
        <v>45</v>
      </c>
      <c r="L68" s="381"/>
      <c r="M68" s="381">
        <v>1.24E-2</v>
      </c>
      <c r="N68" s="381" t="s">
        <v>497</v>
      </c>
      <c r="O68" s="381"/>
      <c r="P68" s="381">
        <v>2026</v>
      </c>
      <c r="Q68" s="374">
        <v>46387</v>
      </c>
      <c r="R68" s="375">
        <v>64.433000000000007</v>
      </c>
      <c r="S68" s="296"/>
      <c r="T68" s="296">
        <f t="shared" si="4"/>
        <v>64.433000000000007</v>
      </c>
      <c r="U68" s="296"/>
      <c r="V68" s="296"/>
      <c r="W68" s="296"/>
      <c r="X68" s="296"/>
      <c r="Y68" s="296">
        <f t="shared" si="5"/>
        <v>64.433000000000007</v>
      </c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>
        <f t="shared" si="6"/>
        <v>64.433000000000007</v>
      </c>
      <c r="AN68" s="296"/>
      <c r="AO68" s="296"/>
    </row>
    <row r="69" spans="1:41" ht="101.25" x14ac:dyDescent="0.3">
      <c r="A69" s="383" t="s">
        <v>153</v>
      </c>
      <c r="B69" s="381" t="s">
        <v>533</v>
      </c>
      <c r="C69" s="381" t="s">
        <v>570</v>
      </c>
      <c r="D69" s="381" t="s">
        <v>479</v>
      </c>
      <c r="E69" s="381" t="s">
        <v>576</v>
      </c>
      <c r="F69" s="381">
        <v>57</v>
      </c>
      <c r="G69" s="381"/>
      <c r="H69" s="381">
        <v>7.5999999999999998E-2</v>
      </c>
      <c r="I69" s="381" t="s">
        <v>497</v>
      </c>
      <c r="J69" s="381"/>
      <c r="K69" s="381">
        <v>45</v>
      </c>
      <c r="L69" s="381"/>
      <c r="M69" s="381">
        <v>7.5999999999999998E-2</v>
      </c>
      <c r="N69" s="381" t="s">
        <v>497</v>
      </c>
      <c r="O69" s="381"/>
      <c r="P69" s="381">
        <v>2026</v>
      </c>
      <c r="Q69" s="374">
        <v>46387</v>
      </c>
      <c r="R69" s="375">
        <v>446.64100000000002</v>
      </c>
      <c r="S69" s="296"/>
      <c r="T69" s="296">
        <f t="shared" si="4"/>
        <v>446.64100000000002</v>
      </c>
      <c r="U69" s="296"/>
      <c r="V69" s="296"/>
      <c r="W69" s="296"/>
      <c r="X69" s="296"/>
      <c r="Y69" s="296">
        <f t="shared" si="5"/>
        <v>446.64100000000002</v>
      </c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>
        <f t="shared" si="6"/>
        <v>446.64100000000002</v>
      </c>
      <c r="AN69" s="296"/>
      <c r="AO69" s="296"/>
    </row>
    <row r="70" spans="1:41" ht="121.5" x14ac:dyDescent="0.3">
      <c r="A70" s="383" t="s">
        <v>154</v>
      </c>
      <c r="B70" s="381" t="s">
        <v>534</v>
      </c>
      <c r="C70" s="381" t="s">
        <v>570</v>
      </c>
      <c r="D70" s="381" t="s">
        <v>479</v>
      </c>
      <c r="E70" s="381" t="s">
        <v>575</v>
      </c>
      <c r="F70" s="381">
        <v>57</v>
      </c>
      <c r="G70" s="381"/>
      <c r="H70" s="381">
        <v>0.14199999999999999</v>
      </c>
      <c r="I70" s="381" t="s">
        <v>581</v>
      </c>
      <c r="J70" s="381"/>
      <c r="K70" s="381">
        <v>45</v>
      </c>
      <c r="L70" s="381"/>
      <c r="M70" s="381">
        <v>0.14199999999999999</v>
      </c>
      <c r="N70" s="381" t="s">
        <v>581</v>
      </c>
      <c r="O70" s="381"/>
      <c r="P70" s="381">
        <v>2026</v>
      </c>
      <c r="Q70" s="374">
        <v>46387</v>
      </c>
      <c r="R70" s="375">
        <v>732.827</v>
      </c>
      <c r="S70" s="296"/>
      <c r="T70" s="296">
        <f t="shared" si="4"/>
        <v>732.827</v>
      </c>
      <c r="U70" s="296"/>
      <c r="V70" s="296"/>
      <c r="W70" s="296"/>
      <c r="X70" s="296"/>
      <c r="Y70" s="296">
        <f t="shared" si="5"/>
        <v>732.827</v>
      </c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>
        <f t="shared" si="6"/>
        <v>732.827</v>
      </c>
      <c r="AN70" s="296"/>
      <c r="AO70" s="296"/>
    </row>
    <row r="71" spans="1:41" ht="101.25" x14ac:dyDescent="0.3">
      <c r="A71" s="383" t="s">
        <v>155</v>
      </c>
      <c r="B71" s="381" t="s">
        <v>535</v>
      </c>
      <c r="C71" s="381" t="s">
        <v>570</v>
      </c>
      <c r="D71" s="381" t="s">
        <v>479</v>
      </c>
      <c r="E71" s="381" t="s">
        <v>575</v>
      </c>
      <c r="F71" s="381">
        <v>57</v>
      </c>
      <c r="G71" s="381"/>
      <c r="H71" s="381">
        <v>1.46E-2</v>
      </c>
      <c r="I71" s="381" t="s">
        <v>581</v>
      </c>
      <c r="J71" s="381"/>
      <c r="K71" s="381">
        <v>45</v>
      </c>
      <c r="L71" s="381"/>
      <c r="M71" s="381">
        <v>1.46E-2</v>
      </c>
      <c r="N71" s="381" t="s">
        <v>581</v>
      </c>
      <c r="O71" s="381"/>
      <c r="P71" s="381">
        <v>2026</v>
      </c>
      <c r="Q71" s="374">
        <v>46387</v>
      </c>
      <c r="R71" s="375">
        <v>94.296999999999997</v>
      </c>
      <c r="S71" s="296"/>
      <c r="T71" s="296">
        <f t="shared" si="4"/>
        <v>94.296999999999997</v>
      </c>
      <c r="U71" s="296"/>
      <c r="V71" s="296"/>
      <c r="W71" s="296"/>
      <c r="X71" s="296"/>
      <c r="Y71" s="296">
        <f t="shared" si="5"/>
        <v>94.296999999999997</v>
      </c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>
        <f t="shared" si="6"/>
        <v>94.296999999999997</v>
      </c>
      <c r="AN71" s="296"/>
      <c r="AO71" s="296"/>
    </row>
    <row r="72" spans="1:41" ht="121.5" x14ac:dyDescent="0.3">
      <c r="A72" s="383" t="s">
        <v>156</v>
      </c>
      <c r="B72" s="381" t="s">
        <v>536</v>
      </c>
      <c r="C72" s="381" t="s">
        <v>570</v>
      </c>
      <c r="D72" s="381" t="s">
        <v>479</v>
      </c>
      <c r="E72" s="381" t="s">
        <v>575</v>
      </c>
      <c r="F72" s="381">
        <v>57</v>
      </c>
      <c r="G72" s="381"/>
      <c r="H72" s="381">
        <v>8.9999999999999993E-3</v>
      </c>
      <c r="I72" s="381" t="s">
        <v>581</v>
      </c>
      <c r="J72" s="381"/>
      <c r="K72" s="381">
        <v>45</v>
      </c>
      <c r="L72" s="381"/>
      <c r="M72" s="381">
        <f>0.0095*2</f>
        <v>1.9E-2</v>
      </c>
      <c r="N72" s="381" t="s">
        <v>497</v>
      </c>
      <c r="O72" s="381"/>
      <c r="P72" s="381">
        <v>2026</v>
      </c>
      <c r="Q72" s="374">
        <v>46387</v>
      </c>
      <c r="R72" s="375">
        <v>185.27199999999999</v>
      </c>
      <c r="S72" s="296"/>
      <c r="T72" s="296">
        <f t="shared" si="4"/>
        <v>185.27199999999999</v>
      </c>
      <c r="U72" s="296"/>
      <c r="V72" s="296"/>
      <c r="W72" s="296"/>
      <c r="X72" s="296"/>
      <c r="Y72" s="296">
        <f t="shared" si="5"/>
        <v>185.27199999999999</v>
      </c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>
        <f t="shared" si="6"/>
        <v>185.27199999999999</v>
      </c>
      <c r="AN72" s="296"/>
      <c r="AO72" s="296"/>
    </row>
    <row r="73" spans="1:41" ht="81" x14ac:dyDescent="0.3">
      <c r="A73" s="383" t="s">
        <v>157</v>
      </c>
      <c r="B73" s="381" t="s">
        <v>537</v>
      </c>
      <c r="C73" s="381" t="s">
        <v>570</v>
      </c>
      <c r="D73" s="381" t="s">
        <v>479</v>
      </c>
      <c r="E73" s="381" t="s">
        <v>575</v>
      </c>
      <c r="F73" s="381">
        <v>57</v>
      </c>
      <c r="G73" s="381"/>
      <c r="H73" s="381">
        <v>6.0000000000000001E-3</v>
      </c>
      <c r="I73" s="381" t="s">
        <v>581</v>
      </c>
      <c r="J73" s="381"/>
      <c r="K73" s="381">
        <v>76</v>
      </c>
      <c r="L73" s="381"/>
      <c r="M73" s="381">
        <f>0.013*2</f>
        <v>2.5999999999999999E-2</v>
      </c>
      <c r="N73" s="381" t="s">
        <v>497</v>
      </c>
      <c r="O73" s="381"/>
      <c r="P73" s="381">
        <v>2026</v>
      </c>
      <c r="Q73" s="374">
        <v>46387</v>
      </c>
      <c r="R73" s="375">
        <v>275.25</v>
      </c>
      <c r="S73" s="296">
        <v>12.166</v>
      </c>
      <c r="T73" s="296">
        <f t="shared" si="4"/>
        <v>263.084</v>
      </c>
      <c r="U73" s="296"/>
      <c r="V73" s="296"/>
      <c r="W73" s="296"/>
      <c r="X73" s="296"/>
      <c r="Y73" s="296">
        <f t="shared" si="5"/>
        <v>275.25</v>
      </c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>
        <f t="shared" si="6"/>
        <v>275.25</v>
      </c>
      <c r="AN73" s="296"/>
      <c r="AO73" s="296"/>
    </row>
    <row r="74" spans="1:41" ht="101.25" x14ac:dyDescent="0.3">
      <c r="A74" s="383" t="s">
        <v>158</v>
      </c>
      <c r="B74" s="381" t="s">
        <v>538</v>
      </c>
      <c r="C74" s="381" t="s">
        <v>570</v>
      </c>
      <c r="D74" s="381" t="s">
        <v>479</v>
      </c>
      <c r="E74" s="381" t="s">
        <v>575</v>
      </c>
      <c r="F74" s="381">
        <v>159</v>
      </c>
      <c r="G74" s="381"/>
      <c r="H74" s="381">
        <v>0.03</v>
      </c>
      <c r="I74" s="381" t="s">
        <v>497</v>
      </c>
      <c r="J74" s="381"/>
      <c r="K74" s="381">
        <v>76</v>
      </c>
      <c r="L74" s="381"/>
      <c r="M74" s="381">
        <v>0.03</v>
      </c>
      <c r="N74" s="381" t="s">
        <v>497</v>
      </c>
      <c r="O74" s="381"/>
      <c r="P74" s="381">
        <v>2026</v>
      </c>
      <c r="Q74" s="374">
        <v>46387</v>
      </c>
      <c r="R74" s="375">
        <v>317.59500000000003</v>
      </c>
      <c r="S74" s="296">
        <v>14.038</v>
      </c>
      <c r="T74" s="296">
        <f t="shared" si="4"/>
        <v>303.55700000000002</v>
      </c>
      <c r="U74" s="296"/>
      <c r="V74" s="296"/>
      <c r="W74" s="296"/>
      <c r="X74" s="296"/>
      <c r="Y74" s="296">
        <f t="shared" si="5"/>
        <v>317.59500000000003</v>
      </c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>
        <f t="shared" si="6"/>
        <v>317.59500000000003</v>
      </c>
      <c r="AN74" s="296"/>
      <c r="AO74" s="296"/>
    </row>
    <row r="75" spans="1:41" ht="101.25" x14ac:dyDescent="0.3">
      <c r="A75" s="383" t="s">
        <v>159</v>
      </c>
      <c r="B75" s="381" t="s">
        <v>539</v>
      </c>
      <c r="C75" s="381" t="s">
        <v>570</v>
      </c>
      <c r="D75" s="381" t="s">
        <v>479</v>
      </c>
      <c r="E75" s="381" t="s">
        <v>575</v>
      </c>
      <c r="F75" s="381">
        <v>108</v>
      </c>
      <c r="G75" s="381"/>
      <c r="H75" s="381">
        <v>3.5999999999999997E-2</v>
      </c>
      <c r="I75" s="381" t="s">
        <v>581</v>
      </c>
      <c r="J75" s="381"/>
      <c r="K75" s="381">
        <v>89</v>
      </c>
      <c r="L75" s="381"/>
      <c r="M75" s="381">
        <v>3.5999999999999997E-2</v>
      </c>
      <c r="N75" s="381" t="s">
        <v>581</v>
      </c>
      <c r="O75" s="381"/>
      <c r="P75" s="381">
        <v>2026</v>
      </c>
      <c r="Q75" s="374">
        <v>46387</v>
      </c>
      <c r="R75" s="375">
        <v>496.29700000000003</v>
      </c>
      <c r="S75" s="296">
        <v>24.219000000000001</v>
      </c>
      <c r="T75" s="296">
        <f t="shared" si="4"/>
        <v>472.07800000000003</v>
      </c>
      <c r="U75" s="296"/>
      <c r="V75" s="296"/>
      <c r="W75" s="296"/>
      <c r="X75" s="296"/>
      <c r="Y75" s="296">
        <f t="shared" si="5"/>
        <v>496.29700000000003</v>
      </c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>
        <f t="shared" si="6"/>
        <v>496.29700000000003</v>
      </c>
      <c r="AN75" s="296"/>
      <c r="AO75" s="296"/>
    </row>
    <row r="76" spans="1:41" ht="121.5" x14ac:dyDescent="0.3">
      <c r="A76" s="383" t="s">
        <v>498</v>
      </c>
      <c r="B76" s="381" t="s">
        <v>540</v>
      </c>
      <c r="C76" s="381" t="s">
        <v>570</v>
      </c>
      <c r="D76" s="381" t="s">
        <v>479</v>
      </c>
      <c r="E76" s="381" t="s">
        <v>576</v>
      </c>
      <c r="F76" s="381">
        <v>108</v>
      </c>
      <c r="G76" s="381"/>
      <c r="H76" s="381">
        <v>0.111</v>
      </c>
      <c r="I76" s="381" t="s">
        <v>581</v>
      </c>
      <c r="J76" s="381"/>
      <c r="K76" s="381">
        <v>76</v>
      </c>
      <c r="L76" s="381"/>
      <c r="M76" s="381">
        <f>0.0655*2</f>
        <v>0.13100000000000001</v>
      </c>
      <c r="N76" s="381" t="s">
        <v>497</v>
      </c>
      <c r="O76" s="381"/>
      <c r="P76" s="381">
        <v>2026</v>
      </c>
      <c r="Q76" s="374">
        <v>46387</v>
      </c>
      <c r="R76" s="375">
        <v>1386.8520000000001</v>
      </c>
      <c r="S76" s="296">
        <v>61.298999999999999</v>
      </c>
      <c r="T76" s="296">
        <f t="shared" si="4"/>
        <v>1325.5530000000001</v>
      </c>
      <c r="U76" s="296"/>
      <c r="V76" s="296"/>
      <c r="W76" s="296"/>
      <c r="X76" s="296"/>
      <c r="Y76" s="296">
        <f t="shared" si="5"/>
        <v>1386.8520000000001</v>
      </c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>
        <f t="shared" si="6"/>
        <v>1386.8520000000001</v>
      </c>
      <c r="AN76" s="296"/>
      <c r="AO76" s="296"/>
    </row>
    <row r="77" spans="1:41" ht="121.5" x14ac:dyDescent="0.3">
      <c r="A77" s="383" t="s">
        <v>499</v>
      </c>
      <c r="B77" s="381" t="s">
        <v>541</v>
      </c>
      <c r="C77" s="381" t="s">
        <v>570</v>
      </c>
      <c r="D77" s="381" t="s">
        <v>479</v>
      </c>
      <c r="E77" s="381" t="s">
        <v>575</v>
      </c>
      <c r="F77" s="381">
        <v>159</v>
      </c>
      <c r="G77" s="381"/>
      <c r="H77" s="381">
        <v>0.03</v>
      </c>
      <c r="I77" s="381" t="s">
        <v>581</v>
      </c>
      <c r="J77" s="381"/>
      <c r="K77" s="381">
        <v>108</v>
      </c>
      <c r="L77" s="381"/>
      <c r="M77" s="381">
        <f>0.025*2</f>
        <v>0.05</v>
      </c>
      <c r="N77" s="381" t="s">
        <v>497</v>
      </c>
      <c r="O77" s="381"/>
      <c r="P77" s="381">
        <v>2026</v>
      </c>
      <c r="Q77" s="374">
        <v>46387</v>
      </c>
      <c r="R77" s="375">
        <v>544.58299999999997</v>
      </c>
      <c r="S77" s="296">
        <v>23.58</v>
      </c>
      <c r="T77" s="296">
        <f t="shared" si="4"/>
        <v>521.00299999999993</v>
      </c>
      <c r="U77" s="296"/>
      <c r="V77" s="296"/>
      <c r="W77" s="296"/>
      <c r="X77" s="296"/>
      <c r="Y77" s="296">
        <f t="shared" si="5"/>
        <v>544.58299999999997</v>
      </c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>
        <f t="shared" si="6"/>
        <v>544.58299999999997</v>
      </c>
      <c r="AN77" s="296"/>
      <c r="AO77" s="296"/>
    </row>
    <row r="78" spans="1:41" ht="81" x14ac:dyDescent="0.3">
      <c r="A78" s="383" t="s">
        <v>500</v>
      </c>
      <c r="B78" s="381" t="s">
        <v>542</v>
      </c>
      <c r="C78" s="381" t="s">
        <v>570</v>
      </c>
      <c r="D78" s="381" t="s">
        <v>479</v>
      </c>
      <c r="E78" s="381" t="s">
        <v>575</v>
      </c>
      <c r="F78" s="381">
        <v>159</v>
      </c>
      <c r="G78" s="381"/>
      <c r="H78" s="381">
        <v>0.08</v>
      </c>
      <c r="I78" s="381" t="s">
        <v>497</v>
      </c>
      <c r="J78" s="381"/>
      <c r="K78" s="381">
        <v>133</v>
      </c>
      <c r="L78" s="381"/>
      <c r="M78" s="381">
        <v>0.08</v>
      </c>
      <c r="N78" s="381" t="s">
        <v>497</v>
      </c>
      <c r="O78" s="381"/>
      <c r="P78" s="381">
        <v>2026</v>
      </c>
      <c r="Q78" s="374">
        <v>46387</v>
      </c>
      <c r="R78" s="375">
        <v>966.97500000000002</v>
      </c>
      <c r="S78" s="296">
        <v>41.87</v>
      </c>
      <c r="T78" s="296">
        <f t="shared" si="4"/>
        <v>925.10500000000002</v>
      </c>
      <c r="U78" s="296"/>
      <c r="V78" s="296"/>
      <c r="W78" s="296"/>
      <c r="X78" s="296"/>
      <c r="Y78" s="296">
        <f t="shared" si="5"/>
        <v>966.97500000000002</v>
      </c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>
        <f t="shared" si="6"/>
        <v>966.97500000000002</v>
      </c>
      <c r="AN78" s="296"/>
      <c r="AO78" s="296"/>
    </row>
    <row r="79" spans="1:41" ht="81" x14ac:dyDescent="0.3">
      <c r="A79" s="383" t="s">
        <v>501</v>
      </c>
      <c r="B79" s="381" t="s">
        <v>543</v>
      </c>
      <c r="C79" s="381" t="s">
        <v>570</v>
      </c>
      <c r="D79" s="381" t="s">
        <v>479</v>
      </c>
      <c r="E79" s="381" t="s">
        <v>575</v>
      </c>
      <c r="F79" s="381">
        <v>159</v>
      </c>
      <c r="G79" s="381"/>
      <c r="H79" s="381">
        <v>4.3200000000000002E-2</v>
      </c>
      <c r="I79" s="381" t="s">
        <v>497</v>
      </c>
      <c r="J79" s="381"/>
      <c r="K79" s="381">
        <v>133</v>
      </c>
      <c r="L79" s="381"/>
      <c r="M79" s="381">
        <v>4.3200000000000002E-2</v>
      </c>
      <c r="N79" s="381" t="s">
        <v>497</v>
      </c>
      <c r="O79" s="381"/>
      <c r="P79" s="381">
        <v>2026</v>
      </c>
      <c r="Q79" s="374">
        <v>46387</v>
      </c>
      <c r="R79" s="375">
        <v>522.16800000000001</v>
      </c>
      <c r="S79" s="296">
        <v>22.61</v>
      </c>
      <c r="T79" s="296">
        <f t="shared" si="4"/>
        <v>499.55799999999999</v>
      </c>
      <c r="U79" s="296"/>
      <c r="V79" s="296"/>
      <c r="W79" s="296"/>
      <c r="X79" s="296"/>
      <c r="Y79" s="296">
        <f t="shared" si="5"/>
        <v>522.16800000000001</v>
      </c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>
        <f t="shared" si="6"/>
        <v>522.16800000000001</v>
      </c>
      <c r="AN79" s="296"/>
      <c r="AO79" s="296"/>
    </row>
    <row r="80" spans="1:41" ht="81" x14ac:dyDescent="0.3">
      <c r="A80" s="383" t="s">
        <v>502</v>
      </c>
      <c r="B80" s="381" t="s">
        <v>544</v>
      </c>
      <c r="C80" s="381" t="s">
        <v>570</v>
      </c>
      <c r="D80" s="381" t="s">
        <v>479</v>
      </c>
      <c r="E80" s="381" t="s">
        <v>575</v>
      </c>
      <c r="F80" s="381">
        <v>159</v>
      </c>
      <c r="G80" s="381"/>
      <c r="H80" s="381">
        <v>4.0599999999999997E-2</v>
      </c>
      <c r="I80" s="381" t="s">
        <v>497</v>
      </c>
      <c r="J80" s="381"/>
      <c r="K80" s="381">
        <v>133</v>
      </c>
      <c r="L80" s="381"/>
      <c r="M80" s="381">
        <v>4.0599999999999997E-2</v>
      </c>
      <c r="N80" s="381" t="s">
        <v>497</v>
      </c>
      <c r="O80" s="381"/>
      <c r="P80" s="381">
        <v>2026</v>
      </c>
      <c r="Q80" s="374">
        <v>46387</v>
      </c>
      <c r="R80" s="375">
        <v>490.74099999999999</v>
      </c>
      <c r="S80" s="296">
        <v>21.248999999999999</v>
      </c>
      <c r="T80" s="296">
        <f t="shared" si="4"/>
        <v>469.49199999999996</v>
      </c>
      <c r="U80" s="296"/>
      <c r="V80" s="296"/>
      <c r="W80" s="296"/>
      <c r="X80" s="296"/>
      <c r="Y80" s="296">
        <f t="shared" si="5"/>
        <v>490.74099999999999</v>
      </c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>
        <f t="shared" si="6"/>
        <v>490.74099999999999</v>
      </c>
      <c r="AN80" s="296"/>
      <c r="AO80" s="296"/>
    </row>
    <row r="81" spans="1:41" ht="81" x14ac:dyDescent="0.3">
      <c r="A81" s="383" t="s">
        <v>503</v>
      </c>
      <c r="B81" s="381" t="s">
        <v>545</v>
      </c>
      <c r="C81" s="381" t="s">
        <v>570</v>
      </c>
      <c r="D81" s="381" t="s">
        <v>479</v>
      </c>
      <c r="E81" s="381" t="s">
        <v>576</v>
      </c>
      <c r="F81" s="381">
        <v>159</v>
      </c>
      <c r="G81" s="381"/>
      <c r="H81" s="381">
        <v>1.4800000000000001E-2</v>
      </c>
      <c r="I81" s="381" t="s">
        <v>497</v>
      </c>
      <c r="J81" s="381"/>
      <c r="K81" s="381">
        <v>133</v>
      </c>
      <c r="L81" s="381"/>
      <c r="M81" s="381">
        <v>1.4800000000000001E-2</v>
      </c>
      <c r="N81" s="381" t="s">
        <v>497</v>
      </c>
      <c r="O81" s="381"/>
      <c r="P81" s="381">
        <v>2026</v>
      </c>
      <c r="Q81" s="374">
        <v>46387</v>
      </c>
      <c r="R81" s="375">
        <v>178.89099999999999</v>
      </c>
      <c r="S81" s="296">
        <v>7.7460000000000004</v>
      </c>
      <c r="T81" s="296">
        <f t="shared" si="4"/>
        <v>171.14499999999998</v>
      </c>
      <c r="U81" s="296"/>
      <c r="V81" s="296"/>
      <c r="W81" s="296"/>
      <c r="X81" s="296"/>
      <c r="Y81" s="296">
        <f t="shared" si="5"/>
        <v>178.89099999999999</v>
      </c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>
        <f t="shared" si="6"/>
        <v>178.89099999999999</v>
      </c>
      <c r="AN81" s="296"/>
      <c r="AO81" s="296"/>
    </row>
    <row r="82" spans="1:41" ht="81" x14ac:dyDescent="0.3">
      <c r="A82" s="383" t="s">
        <v>504</v>
      </c>
      <c r="B82" s="381" t="s">
        <v>546</v>
      </c>
      <c r="C82" s="381" t="s">
        <v>570</v>
      </c>
      <c r="D82" s="381" t="s">
        <v>479</v>
      </c>
      <c r="E82" s="381" t="s">
        <v>575</v>
      </c>
      <c r="F82" s="381">
        <v>159</v>
      </c>
      <c r="G82" s="381"/>
      <c r="H82" s="381">
        <v>2.1999999999999999E-2</v>
      </c>
      <c r="I82" s="381" t="s">
        <v>497</v>
      </c>
      <c r="J82" s="381"/>
      <c r="K82" s="381">
        <v>133</v>
      </c>
      <c r="L82" s="381"/>
      <c r="M82" s="381">
        <v>2.1999999999999999E-2</v>
      </c>
      <c r="N82" s="381" t="s">
        <v>497</v>
      </c>
      <c r="O82" s="381"/>
      <c r="P82" s="381">
        <v>2026</v>
      </c>
      <c r="Q82" s="374">
        <v>46387</v>
      </c>
      <c r="R82" s="375">
        <v>265.91899999999998</v>
      </c>
      <c r="S82" s="296">
        <v>11.513999999999999</v>
      </c>
      <c r="T82" s="296">
        <f t="shared" si="4"/>
        <v>254.40499999999997</v>
      </c>
      <c r="U82" s="296"/>
      <c r="V82" s="296"/>
      <c r="W82" s="296"/>
      <c r="X82" s="296"/>
      <c r="Y82" s="296">
        <f t="shared" si="5"/>
        <v>265.91899999999998</v>
      </c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>
        <f t="shared" si="6"/>
        <v>265.91899999999998</v>
      </c>
      <c r="AN82" s="296"/>
      <c r="AO82" s="296"/>
    </row>
    <row r="83" spans="1:41" ht="81" x14ac:dyDescent="0.3">
      <c r="A83" s="383" t="s">
        <v>505</v>
      </c>
      <c r="B83" s="381" t="s">
        <v>547</v>
      </c>
      <c r="C83" s="381" t="s">
        <v>570</v>
      </c>
      <c r="D83" s="381" t="s">
        <v>479</v>
      </c>
      <c r="E83" s="381" t="s">
        <v>575</v>
      </c>
      <c r="F83" s="381">
        <v>159</v>
      </c>
      <c r="G83" s="381"/>
      <c r="H83" s="381">
        <v>6.0000000000000001E-3</v>
      </c>
      <c r="I83" s="381" t="s">
        <v>497</v>
      </c>
      <c r="J83" s="381"/>
      <c r="K83" s="381">
        <v>133</v>
      </c>
      <c r="L83" s="381"/>
      <c r="M83" s="381">
        <v>6.0000000000000001E-3</v>
      </c>
      <c r="N83" s="381" t="s">
        <v>497</v>
      </c>
      <c r="O83" s="381"/>
      <c r="P83" s="381">
        <v>2026</v>
      </c>
      <c r="Q83" s="374">
        <v>46387</v>
      </c>
      <c r="R83" s="375">
        <v>72.522999999999996</v>
      </c>
      <c r="S83" s="296">
        <v>3.14</v>
      </c>
      <c r="T83" s="296">
        <f t="shared" si="4"/>
        <v>69.382999999999996</v>
      </c>
      <c r="U83" s="296"/>
      <c r="V83" s="296"/>
      <c r="W83" s="296"/>
      <c r="X83" s="296"/>
      <c r="Y83" s="296">
        <f t="shared" si="5"/>
        <v>72.522999999999996</v>
      </c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>
        <f t="shared" si="6"/>
        <v>72.522999999999996</v>
      </c>
      <c r="AN83" s="296"/>
      <c r="AO83" s="296"/>
    </row>
    <row r="84" spans="1:41" ht="81" x14ac:dyDescent="0.3">
      <c r="A84" s="383" t="s">
        <v>506</v>
      </c>
      <c r="B84" s="381" t="s">
        <v>548</v>
      </c>
      <c r="C84" s="381" t="s">
        <v>570</v>
      </c>
      <c r="D84" s="381" t="s">
        <v>479</v>
      </c>
      <c r="E84" s="381" t="s">
        <v>575</v>
      </c>
      <c r="F84" s="381">
        <v>159</v>
      </c>
      <c r="G84" s="381"/>
      <c r="H84" s="381">
        <v>1.84E-2</v>
      </c>
      <c r="I84" s="381" t="s">
        <v>497</v>
      </c>
      <c r="J84" s="381"/>
      <c r="K84" s="381">
        <v>133</v>
      </c>
      <c r="L84" s="381"/>
      <c r="M84" s="381">
        <v>1.84E-2</v>
      </c>
      <c r="N84" s="381" t="s">
        <v>497</v>
      </c>
      <c r="O84" s="381"/>
      <c r="P84" s="381">
        <v>2026</v>
      </c>
      <c r="Q84" s="374">
        <v>46387</v>
      </c>
      <c r="R84" s="375">
        <v>222.405</v>
      </c>
      <c r="S84" s="296">
        <v>9.6300000000000008</v>
      </c>
      <c r="T84" s="296">
        <f t="shared" si="4"/>
        <v>212.77500000000001</v>
      </c>
      <c r="U84" s="296"/>
      <c r="V84" s="296"/>
      <c r="W84" s="296"/>
      <c r="X84" s="296"/>
      <c r="Y84" s="296">
        <f t="shared" si="5"/>
        <v>222.405</v>
      </c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>
        <f t="shared" si="6"/>
        <v>222.405</v>
      </c>
      <c r="AN84" s="296"/>
      <c r="AO84" s="296"/>
    </row>
    <row r="85" spans="1:41" ht="121.5" x14ac:dyDescent="0.3">
      <c r="A85" s="383" t="s">
        <v>507</v>
      </c>
      <c r="B85" s="381" t="s">
        <v>549</v>
      </c>
      <c r="C85" s="381" t="s">
        <v>570</v>
      </c>
      <c r="D85" s="381" t="s">
        <v>479</v>
      </c>
      <c r="E85" s="381" t="s">
        <v>575</v>
      </c>
      <c r="F85" s="381">
        <v>159</v>
      </c>
      <c r="G85" s="381"/>
      <c r="H85" s="381">
        <v>3.2000000000000001E-2</v>
      </c>
      <c r="I85" s="381" t="s">
        <v>581</v>
      </c>
      <c r="J85" s="381"/>
      <c r="K85" s="381">
        <v>133</v>
      </c>
      <c r="L85" s="381"/>
      <c r="M85" s="381">
        <f>0.026*2</f>
        <v>5.1999999999999998E-2</v>
      </c>
      <c r="N85" s="381" t="s">
        <v>497</v>
      </c>
      <c r="O85" s="381"/>
      <c r="P85" s="381">
        <v>2026</v>
      </c>
      <c r="Q85" s="374">
        <v>46387</v>
      </c>
      <c r="R85" s="375">
        <v>628.53599999999994</v>
      </c>
      <c r="S85" s="296">
        <v>27.216000000000001</v>
      </c>
      <c r="T85" s="296">
        <f t="shared" si="4"/>
        <v>601.31999999999994</v>
      </c>
      <c r="U85" s="296"/>
      <c r="V85" s="296"/>
      <c r="W85" s="296"/>
      <c r="X85" s="296"/>
      <c r="Y85" s="296">
        <f t="shared" si="5"/>
        <v>628.53599999999994</v>
      </c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>
        <f t="shared" si="6"/>
        <v>628.53599999999994</v>
      </c>
      <c r="AN85" s="296"/>
      <c r="AO85" s="296"/>
    </row>
    <row r="86" spans="1:41" ht="81" x14ac:dyDescent="0.3">
      <c r="A86" s="383" t="s">
        <v>508</v>
      </c>
      <c r="B86" s="381" t="s">
        <v>550</v>
      </c>
      <c r="C86" s="381" t="s">
        <v>570</v>
      </c>
      <c r="D86" s="381" t="s">
        <v>479</v>
      </c>
      <c r="E86" s="381" t="s">
        <v>575</v>
      </c>
      <c r="F86" s="381">
        <v>159</v>
      </c>
      <c r="G86" s="381"/>
      <c r="H86" s="381">
        <v>7.3400000000000007E-2</v>
      </c>
      <c r="I86" s="381" t="s">
        <v>581</v>
      </c>
      <c r="J86" s="381"/>
      <c r="K86" s="381">
        <v>133</v>
      </c>
      <c r="L86" s="381"/>
      <c r="M86" s="381">
        <v>7.3400000000000007E-2</v>
      </c>
      <c r="N86" s="381" t="s">
        <v>581</v>
      </c>
      <c r="O86" s="381"/>
      <c r="P86" s="381">
        <v>2026</v>
      </c>
      <c r="Q86" s="374">
        <v>46387</v>
      </c>
      <c r="R86" s="375">
        <v>1304.4179999999999</v>
      </c>
      <c r="S86" s="296">
        <v>63.524999999999999</v>
      </c>
      <c r="T86" s="296">
        <f t="shared" si="4"/>
        <v>1240.8929999999998</v>
      </c>
      <c r="U86" s="296"/>
      <c r="V86" s="296"/>
      <c r="W86" s="296"/>
      <c r="X86" s="296"/>
      <c r="Y86" s="296">
        <f t="shared" si="5"/>
        <v>1304.4179999999999</v>
      </c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>
        <f t="shared" si="6"/>
        <v>1304.4179999999999</v>
      </c>
      <c r="AN86" s="296"/>
      <c r="AO86" s="296"/>
    </row>
    <row r="87" spans="1:41" ht="141.75" x14ac:dyDescent="0.3">
      <c r="A87" s="383" t="s">
        <v>509</v>
      </c>
      <c r="B87" s="381" t="s">
        <v>551</v>
      </c>
      <c r="C87" s="381" t="s">
        <v>572</v>
      </c>
      <c r="D87" s="381" t="s">
        <v>479</v>
      </c>
      <c r="E87" s="381" t="s">
        <v>577</v>
      </c>
      <c r="F87" s="381">
        <v>108</v>
      </c>
      <c r="G87" s="381"/>
      <c r="H87" s="381">
        <v>0.13200000000000001</v>
      </c>
      <c r="I87" s="381" t="s">
        <v>581</v>
      </c>
      <c r="J87" s="381"/>
      <c r="K87" s="381">
        <v>108</v>
      </c>
      <c r="L87" s="381"/>
      <c r="M87" s="381">
        <f>0.076*2</f>
        <v>0.152</v>
      </c>
      <c r="N87" s="381" t="s">
        <v>497</v>
      </c>
      <c r="O87" s="381"/>
      <c r="P87" s="381">
        <v>2026</v>
      </c>
      <c r="Q87" s="374">
        <v>46387</v>
      </c>
      <c r="R87" s="375">
        <v>1655.5319999999999</v>
      </c>
      <c r="S87" s="296">
        <v>71.685000000000002</v>
      </c>
      <c r="T87" s="296">
        <f t="shared" si="4"/>
        <v>1583.847</v>
      </c>
      <c r="U87" s="296"/>
      <c r="V87" s="296"/>
      <c r="W87" s="296"/>
      <c r="X87" s="296"/>
      <c r="Y87" s="296">
        <f t="shared" si="5"/>
        <v>1655.5319999999999</v>
      </c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>
        <f t="shared" si="6"/>
        <v>1655.5319999999999</v>
      </c>
      <c r="AN87" s="296"/>
      <c r="AO87" s="296"/>
    </row>
    <row r="88" spans="1:41" ht="121.5" x14ac:dyDescent="0.3">
      <c r="A88" s="383" t="s">
        <v>510</v>
      </c>
      <c r="B88" s="381" t="s">
        <v>552</v>
      </c>
      <c r="C88" s="381" t="s">
        <v>571</v>
      </c>
      <c r="D88" s="381" t="s">
        <v>479</v>
      </c>
      <c r="E88" s="381" t="s">
        <v>578</v>
      </c>
      <c r="F88" s="381">
        <v>76</v>
      </c>
      <c r="G88" s="381"/>
      <c r="H88" s="381">
        <v>5.1999999999999998E-2</v>
      </c>
      <c r="I88" s="381" t="s">
        <v>497</v>
      </c>
      <c r="J88" s="381"/>
      <c r="K88" s="381">
        <v>45</v>
      </c>
      <c r="L88" s="381"/>
      <c r="M88" s="381">
        <v>5.1999999999999998E-2</v>
      </c>
      <c r="N88" s="381" t="s">
        <v>497</v>
      </c>
      <c r="O88" s="381"/>
      <c r="P88" s="381">
        <v>2027</v>
      </c>
      <c r="Q88" s="374">
        <v>46752</v>
      </c>
      <c r="R88" s="375">
        <f>310.062/1.2</f>
        <v>258.38500000000005</v>
      </c>
      <c r="S88" s="296"/>
      <c r="T88" s="296">
        <f t="shared" si="4"/>
        <v>258.38500000000005</v>
      </c>
      <c r="U88" s="296"/>
      <c r="V88" s="296"/>
      <c r="W88" s="296"/>
      <c r="X88" s="296"/>
      <c r="Y88" s="296"/>
      <c r="Z88" s="296">
        <f>R88</f>
        <v>258.38500000000005</v>
      </c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>
        <f t="shared" si="6"/>
        <v>258.38500000000005</v>
      </c>
      <c r="AN88" s="296"/>
      <c r="AO88" s="296"/>
    </row>
    <row r="89" spans="1:41" ht="141.75" x14ac:dyDescent="0.3">
      <c r="A89" s="383" t="s">
        <v>511</v>
      </c>
      <c r="B89" s="381" t="s">
        <v>553</v>
      </c>
      <c r="C89" s="381" t="s">
        <v>571</v>
      </c>
      <c r="D89" s="381" t="s">
        <v>479</v>
      </c>
      <c r="E89" s="381" t="s">
        <v>579</v>
      </c>
      <c r="F89" s="381">
        <v>159</v>
      </c>
      <c r="G89" s="381"/>
      <c r="H89" s="381">
        <v>1.72E-2</v>
      </c>
      <c r="I89" s="381" t="s">
        <v>581</v>
      </c>
      <c r="J89" s="381"/>
      <c r="K89" s="381">
        <v>108</v>
      </c>
      <c r="L89" s="381"/>
      <c r="M89" s="381">
        <v>1.72E-2</v>
      </c>
      <c r="N89" s="381" t="s">
        <v>497</v>
      </c>
      <c r="O89" s="381"/>
      <c r="P89" s="381">
        <v>2027</v>
      </c>
      <c r="Q89" s="374">
        <v>46752</v>
      </c>
      <c r="R89" s="375">
        <f>235.15/1.2</f>
        <v>195.95833333333334</v>
      </c>
      <c r="S89" s="296">
        <v>8.4849999999999994</v>
      </c>
      <c r="T89" s="296">
        <f t="shared" si="4"/>
        <v>187.47333333333336</v>
      </c>
      <c r="U89" s="296"/>
      <c r="V89" s="296"/>
      <c r="W89" s="296"/>
      <c r="X89" s="296"/>
      <c r="Y89" s="296"/>
      <c r="Z89" s="296">
        <f t="shared" ref="Z89:Z105" si="7">R89</f>
        <v>195.95833333333334</v>
      </c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>
        <f t="shared" si="6"/>
        <v>195.95833333333334</v>
      </c>
      <c r="AN89" s="296"/>
      <c r="AO89" s="296"/>
    </row>
    <row r="90" spans="1:41" ht="162" x14ac:dyDescent="0.3">
      <c r="A90" s="383" t="s">
        <v>512</v>
      </c>
      <c r="B90" s="381" t="s">
        <v>554</v>
      </c>
      <c r="C90" s="381" t="s">
        <v>571</v>
      </c>
      <c r="D90" s="381" t="s">
        <v>479</v>
      </c>
      <c r="E90" s="381" t="s">
        <v>578</v>
      </c>
      <c r="F90" s="381">
        <v>57</v>
      </c>
      <c r="G90" s="381"/>
      <c r="H90" s="381">
        <v>6.8000000000000005E-2</v>
      </c>
      <c r="I90" s="381" t="s">
        <v>581</v>
      </c>
      <c r="J90" s="381"/>
      <c r="K90" s="381">
        <v>32</v>
      </c>
      <c r="L90" s="381"/>
      <c r="M90" s="381">
        <f>0.039*2</f>
        <v>7.8E-2</v>
      </c>
      <c r="N90" s="381" t="s">
        <v>497</v>
      </c>
      <c r="O90" s="381"/>
      <c r="P90" s="381">
        <v>2027</v>
      </c>
      <c r="Q90" s="374">
        <v>46752</v>
      </c>
      <c r="R90" s="375">
        <f>629.296/1.2</f>
        <v>524.41333333333341</v>
      </c>
      <c r="S90" s="296"/>
      <c r="T90" s="296">
        <f t="shared" si="4"/>
        <v>524.41333333333341</v>
      </c>
      <c r="U90" s="296"/>
      <c r="V90" s="296"/>
      <c r="W90" s="296"/>
      <c r="X90" s="296"/>
      <c r="Y90" s="296"/>
      <c r="Z90" s="296">
        <f t="shared" si="7"/>
        <v>524.41333333333341</v>
      </c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>
        <f t="shared" si="6"/>
        <v>524.41333333333341</v>
      </c>
      <c r="AN90" s="296"/>
      <c r="AO90" s="296"/>
    </row>
    <row r="91" spans="1:41" ht="141.75" x14ac:dyDescent="0.3">
      <c r="A91" s="383" t="s">
        <v>513</v>
      </c>
      <c r="B91" s="381" t="s">
        <v>555</v>
      </c>
      <c r="C91" s="381" t="s">
        <v>571</v>
      </c>
      <c r="D91" s="381" t="s">
        <v>479</v>
      </c>
      <c r="E91" s="381" t="s">
        <v>578</v>
      </c>
      <c r="F91" s="381">
        <v>159</v>
      </c>
      <c r="G91" s="381"/>
      <c r="H91" s="381">
        <v>2.4E-2</v>
      </c>
      <c r="I91" s="381" t="s">
        <v>581</v>
      </c>
      <c r="J91" s="381"/>
      <c r="K91" s="381">
        <v>108</v>
      </c>
      <c r="L91" s="381"/>
      <c r="M91" s="381">
        <f>0.017*2</f>
        <v>3.4000000000000002E-2</v>
      </c>
      <c r="N91" s="381" t="s">
        <v>497</v>
      </c>
      <c r="O91" s="381"/>
      <c r="P91" s="381">
        <v>2027</v>
      </c>
      <c r="Q91" s="374">
        <v>46752</v>
      </c>
      <c r="R91" s="375">
        <f>464.822/1.2</f>
        <v>387.35166666666669</v>
      </c>
      <c r="S91" s="296">
        <v>16.771999999999998</v>
      </c>
      <c r="T91" s="296">
        <f t="shared" si="4"/>
        <v>370.5796666666667</v>
      </c>
      <c r="U91" s="296"/>
      <c r="V91" s="296"/>
      <c r="W91" s="296"/>
      <c r="X91" s="296"/>
      <c r="Y91" s="296"/>
      <c r="Z91" s="296">
        <f t="shared" si="7"/>
        <v>387.35166666666669</v>
      </c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>
        <f t="shared" si="6"/>
        <v>387.35166666666669</v>
      </c>
      <c r="AN91" s="296"/>
      <c r="AO91" s="296"/>
    </row>
    <row r="92" spans="1:41" ht="141.75" x14ac:dyDescent="0.3">
      <c r="A92" s="383" t="s">
        <v>514</v>
      </c>
      <c r="B92" s="381" t="s">
        <v>556</v>
      </c>
      <c r="C92" s="381" t="s">
        <v>571</v>
      </c>
      <c r="D92" s="381" t="s">
        <v>479</v>
      </c>
      <c r="E92" s="381" t="s">
        <v>578</v>
      </c>
      <c r="F92" s="381">
        <v>89</v>
      </c>
      <c r="G92" s="381"/>
      <c r="H92" s="381">
        <v>2.5999999999999999E-2</v>
      </c>
      <c r="I92" s="381" t="s">
        <v>581</v>
      </c>
      <c r="J92" s="381"/>
      <c r="K92" s="381">
        <v>89</v>
      </c>
      <c r="L92" s="381"/>
      <c r="M92" s="381">
        <v>2.5999999999999999E-2</v>
      </c>
      <c r="N92" s="381" t="s">
        <v>497</v>
      </c>
      <c r="O92" s="381"/>
      <c r="P92" s="381">
        <v>2027</v>
      </c>
      <c r="Q92" s="374">
        <v>46752</v>
      </c>
      <c r="R92" s="375">
        <f>345.498/1.2</f>
        <v>287.91500000000002</v>
      </c>
      <c r="S92" s="296">
        <v>12.726000000000001</v>
      </c>
      <c r="T92" s="296">
        <f t="shared" si="4"/>
        <v>275.18900000000002</v>
      </c>
      <c r="U92" s="296"/>
      <c r="V92" s="296"/>
      <c r="W92" s="296"/>
      <c r="X92" s="296"/>
      <c r="Y92" s="296"/>
      <c r="Z92" s="296">
        <f t="shared" si="7"/>
        <v>287.91500000000002</v>
      </c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>
        <f t="shared" si="6"/>
        <v>287.91500000000002</v>
      </c>
      <c r="AN92" s="296"/>
      <c r="AO92" s="296"/>
    </row>
    <row r="93" spans="1:41" ht="162" x14ac:dyDescent="0.3">
      <c r="A93" s="383" t="s">
        <v>515</v>
      </c>
      <c r="B93" s="381" t="s">
        <v>557</v>
      </c>
      <c r="C93" s="381" t="s">
        <v>571</v>
      </c>
      <c r="D93" s="381" t="s">
        <v>479</v>
      </c>
      <c r="E93" s="381" t="s">
        <v>578</v>
      </c>
      <c r="F93" s="381">
        <v>57</v>
      </c>
      <c r="G93" s="381"/>
      <c r="H93" s="381">
        <v>2.1999999999999999E-2</v>
      </c>
      <c r="I93" s="381" t="s">
        <v>581</v>
      </c>
      <c r="J93" s="381"/>
      <c r="K93" s="381">
        <v>57</v>
      </c>
      <c r="L93" s="381"/>
      <c r="M93" s="381">
        <v>2.1999999999999999E-2</v>
      </c>
      <c r="N93" s="381" t="s">
        <v>497</v>
      </c>
      <c r="O93" s="381"/>
      <c r="P93" s="381">
        <v>2027</v>
      </c>
      <c r="Q93" s="374">
        <v>46752</v>
      </c>
      <c r="R93" s="375">
        <f>166.224/1.2</f>
        <v>138.52000000000001</v>
      </c>
      <c r="S93" s="296"/>
      <c r="T93" s="296">
        <f t="shared" si="4"/>
        <v>138.52000000000001</v>
      </c>
      <c r="U93" s="296"/>
      <c r="V93" s="296"/>
      <c r="W93" s="296"/>
      <c r="X93" s="296"/>
      <c r="Y93" s="296"/>
      <c r="Z93" s="296">
        <f t="shared" si="7"/>
        <v>138.52000000000001</v>
      </c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>
        <f t="shared" si="6"/>
        <v>138.52000000000001</v>
      </c>
      <c r="AN93" s="296"/>
      <c r="AO93" s="296"/>
    </row>
    <row r="94" spans="1:41" ht="162" x14ac:dyDescent="0.3">
      <c r="A94" s="383" t="s">
        <v>516</v>
      </c>
      <c r="B94" s="381" t="s">
        <v>558</v>
      </c>
      <c r="C94" s="381" t="s">
        <v>571</v>
      </c>
      <c r="D94" s="381" t="s">
        <v>479</v>
      </c>
      <c r="E94" s="381" t="s">
        <v>578</v>
      </c>
      <c r="F94" s="381">
        <v>76</v>
      </c>
      <c r="G94" s="381"/>
      <c r="H94" s="381">
        <v>0.1948</v>
      </c>
      <c r="I94" s="381" t="s">
        <v>581</v>
      </c>
      <c r="J94" s="381"/>
      <c r="K94" s="381">
        <v>76</v>
      </c>
      <c r="L94" s="381"/>
      <c r="M94" s="381">
        <f>0.1074*2</f>
        <v>0.21479999999999999</v>
      </c>
      <c r="N94" s="381" t="s">
        <v>497</v>
      </c>
      <c r="O94" s="381"/>
      <c r="P94" s="381">
        <v>2027</v>
      </c>
      <c r="Q94" s="374">
        <v>46752</v>
      </c>
      <c r="R94" s="375">
        <v>2378.6170000000002</v>
      </c>
      <c r="S94" s="296">
        <v>105.13500000000001</v>
      </c>
      <c r="T94" s="296">
        <f t="shared" si="4"/>
        <v>2273.482</v>
      </c>
      <c r="U94" s="296"/>
      <c r="V94" s="296"/>
      <c r="W94" s="296"/>
      <c r="X94" s="296"/>
      <c r="Y94" s="296"/>
      <c r="Z94" s="296">
        <f t="shared" si="7"/>
        <v>2378.6170000000002</v>
      </c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>
        <f t="shared" si="6"/>
        <v>2378.6170000000002</v>
      </c>
      <c r="AN94" s="296"/>
      <c r="AO94" s="296"/>
    </row>
    <row r="95" spans="1:41" ht="61.5" customHeight="1" x14ac:dyDescent="0.3">
      <c r="A95" s="383" t="s">
        <v>517</v>
      </c>
      <c r="B95" s="381" t="s">
        <v>559</v>
      </c>
      <c r="C95" s="381" t="s">
        <v>571</v>
      </c>
      <c r="D95" s="381" t="s">
        <v>479</v>
      </c>
      <c r="E95" s="381" t="s">
        <v>578</v>
      </c>
      <c r="F95" s="381">
        <v>76</v>
      </c>
      <c r="G95" s="381"/>
      <c r="H95" s="381">
        <v>4.7600000000000003E-2</v>
      </c>
      <c r="I95" s="381" t="s">
        <v>581</v>
      </c>
      <c r="J95" s="381"/>
      <c r="K95" s="381">
        <v>76</v>
      </c>
      <c r="L95" s="381"/>
      <c r="M95" s="381">
        <f>0.0338*2</f>
        <v>6.7599999999999993E-2</v>
      </c>
      <c r="N95" s="381" t="s">
        <v>497</v>
      </c>
      <c r="O95" s="381"/>
      <c r="P95" s="381">
        <v>2027</v>
      </c>
      <c r="Q95" s="374">
        <v>46752</v>
      </c>
      <c r="R95" s="375">
        <f>898.294/1.2</f>
        <v>748.57833333333338</v>
      </c>
      <c r="S95" s="296">
        <v>33.087000000000003</v>
      </c>
      <c r="T95" s="296">
        <f t="shared" si="4"/>
        <v>715.49133333333339</v>
      </c>
      <c r="U95" s="296"/>
      <c r="V95" s="296"/>
      <c r="W95" s="296"/>
      <c r="X95" s="296"/>
      <c r="Y95" s="296"/>
      <c r="Z95" s="296">
        <f t="shared" si="7"/>
        <v>748.57833333333338</v>
      </c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>
        <f t="shared" si="6"/>
        <v>748.57833333333338</v>
      </c>
      <c r="AN95" s="296"/>
      <c r="AO95" s="296"/>
    </row>
    <row r="96" spans="1:41" ht="141.75" x14ac:dyDescent="0.3">
      <c r="A96" s="383" t="s">
        <v>518</v>
      </c>
      <c r="B96" s="381" t="s">
        <v>560</v>
      </c>
      <c r="C96" s="381" t="s">
        <v>571</v>
      </c>
      <c r="D96" s="381" t="s">
        <v>479</v>
      </c>
      <c r="E96" s="381" t="s">
        <v>578</v>
      </c>
      <c r="F96" s="381">
        <v>76</v>
      </c>
      <c r="G96" s="381"/>
      <c r="H96" s="381">
        <v>7.3999999999999996E-2</v>
      </c>
      <c r="I96" s="381" t="s">
        <v>581</v>
      </c>
      <c r="J96" s="381"/>
      <c r="K96" s="381">
        <v>76</v>
      </c>
      <c r="L96" s="381"/>
      <c r="M96" s="381">
        <v>7.3999999999999996E-2</v>
      </c>
      <c r="N96" s="381" t="s">
        <v>497</v>
      </c>
      <c r="O96" s="381"/>
      <c r="P96" s="381">
        <v>2027</v>
      </c>
      <c r="Q96" s="374">
        <v>46752</v>
      </c>
      <c r="R96" s="375">
        <v>819.44799999999998</v>
      </c>
      <c r="S96" s="296">
        <v>36.22</v>
      </c>
      <c r="T96" s="296">
        <f t="shared" si="4"/>
        <v>783.22799999999995</v>
      </c>
      <c r="U96" s="296"/>
      <c r="V96" s="296"/>
      <c r="W96" s="296"/>
      <c r="X96" s="296"/>
      <c r="Y96" s="296"/>
      <c r="Z96" s="296">
        <f t="shared" si="7"/>
        <v>819.44799999999998</v>
      </c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>
        <f t="shared" si="6"/>
        <v>819.44799999999998</v>
      </c>
      <c r="AN96" s="296"/>
      <c r="AO96" s="296"/>
    </row>
    <row r="97" spans="1:41" ht="141.75" x14ac:dyDescent="0.3">
      <c r="A97" s="383" t="s">
        <v>519</v>
      </c>
      <c r="B97" s="381" t="s">
        <v>561</v>
      </c>
      <c r="C97" s="381" t="s">
        <v>571</v>
      </c>
      <c r="D97" s="381" t="s">
        <v>479</v>
      </c>
      <c r="E97" s="381" t="s">
        <v>578</v>
      </c>
      <c r="F97" s="381">
        <v>76</v>
      </c>
      <c r="G97" s="381"/>
      <c r="H97" s="381">
        <v>4.0000000000000001E-3</v>
      </c>
      <c r="I97" s="381" t="s">
        <v>581</v>
      </c>
      <c r="J97" s="381"/>
      <c r="K97" s="381">
        <v>76</v>
      </c>
      <c r="L97" s="381"/>
      <c r="M97" s="381">
        <v>4.0000000000000001E-3</v>
      </c>
      <c r="N97" s="381" t="s">
        <v>497</v>
      </c>
      <c r="O97" s="381"/>
      <c r="P97" s="381">
        <v>2027</v>
      </c>
      <c r="Q97" s="374">
        <v>46752</v>
      </c>
      <c r="R97" s="375">
        <f>53.153/1.2</f>
        <v>44.294166666666669</v>
      </c>
      <c r="S97" s="296">
        <v>1.958</v>
      </c>
      <c r="T97" s="296">
        <f t="shared" si="4"/>
        <v>42.336166666666671</v>
      </c>
      <c r="U97" s="296"/>
      <c r="V97" s="296"/>
      <c r="W97" s="296"/>
      <c r="X97" s="296"/>
      <c r="Y97" s="296"/>
      <c r="Z97" s="296">
        <f t="shared" si="7"/>
        <v>44.294166666666669</v>
      </c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>
        <f t="shared" si="6"/>
        <v>44.294166666666669</v>
      </c>
      <c r="AN97" s="296"/>
      <c r="AO97" s="296"/>
    </row>
    <row r="98" spans="1:41" ht="121.5" x14ac:dyDescent="0.3">
      <c r="A98" s="383" t="s">
        <v>520</v>
      </c>
      <c r="B98" s="381" t="s">
        <v>562</v>
      </c>
      <c r="C98" s="381" t="s">
        <v>571</v>
      </c>
      <c r="D98" s="381" t="s">
        <v>479</v>
      </c>
      <c r="E98" s="381" t="s">
        <v>578</v>
      </c>
      <c r="F98" s="381">
        <v>76</v>
      </c>
      <c r="G98" s="381"/>
      <c r="H98" s="381">
        <v>5.3999999999999999E-2</v>
      </c>
      <c r="I98" s="381" t="s">
        <v>581</v>
      </c>
      <c r="J98" s="381"/>
      <c r="K98" s="381">
        <v>45</v>
      </c>
      <c r="L98" s="381"/>
      <c r="M98" s="381">
        <f>0.042*2</f>
        <v>8.4000000000000005E-2</v>
      </c>
      <c r="N98" s="381" t="s">
        <v>497</v>
      </c>
      <c r="O98" s="381"/>
      <c r="P98" s="381">
        <v>2027</v>
      </c>
      <c r="Q98" s="374">
        <v>46752</v>
      </c>
      <c r="R98" s="375">
        <f>583.219/1.2</f>
        <v>486.01583333333338</v>
      </c>
      <c r="S98" s="296"/>
      <c r="T98" s="296">
        <f t="shared" si="4"/>
        <v>486.01583333333338</v>
      </c>
      <c r="U98" s="296"/>
      <c r="V98" s="296"/>
      <c r="W98" s="296"/>
      <c r="X98" s="296"/>
      <c r="Y98" s="296"/>
      <c r="Z98" s="296">
        <f t="shared" si="7"/>
        <v>486.01583333333338</v>
      </c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>
        <f t="shared" si="6"/>
        <v>486.01583333333338</v>
      </c>
      <c r="AN98" s="296"/>
      <c r="AO98" s="296"/>
    </row>
    <row r="99" spans="1:41" ht="162" x14ac:dyDescent="0.3">
      <c r="A99" s="383" t="s">
        <v>521</v>
      </c>
      <c r="B99" s="381" t="s">
        <v>563</v>
      </c>
      <c r="C99" s="381" t="s">
        <v>571</v>
      </c>
      <c r="D99" s="381" t="s">
        <v>479</v>
      </c>
      <c r="E99" s="381" t="s">
        <v>578</v>
      </c>
      <c r="F99" s="381">
        <v>89</v>
      </c>
      <c r="G99" s="381"/>
      <c r="H99" s="381">
        <v>1.2200000000000001E-2</v>
      </c>
      <c r="I99" s="381" t="s">
        <v>581</v>
      </c>
      <c r="J99" s="381"/>
      <c r="K99" s="381">
        <v>89</v>
      </c>
      <c r="L99" s="381"/>
      <c r="M99" s="381">
        <f>0.0161*2</f>
        <v>3.2199999999999999E-2</v>
      </c>
      <c r="N99" s="381" t="s">
        <v>497</v>
      </c>
      <c r="O99" s="381"/>
      <c r="P99" s="381">
        <v>2027</v>
      </c>
      <c r="Q99" s="374">
        <v>46752</v>
      </c>
      <c r="R99" s="375">
        <f>427.885/1.2</f>
        <v>356.57083333333333</v>
      </c>
      <c r="S99" s="296">
        <v>15.76</v>
      </c>
      <c r="T99" s="296">
        <f t="shared" si="4"/>
        <v>340.81083333333333</v>
      </c>
      <c r="U99" s="296"/>
      <c r="V99" s="296"/>
      <c r="W99" s="296"/>
      <c r="X99" s="296"/>
      <c r="Y99" s="296"/>
      <c r="Z99" s="296">
        <f t="shared" si="7"/>
        <v>356.57083333333333</v>
      </c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>
        <f t="shared" si="6"/>
        <v>356.57083333333333</v>
      </c>
      <c r="AN99" s="296"/>
      <c r="AO99" s="296"/>
    </row>
    <row r="100" spans="1:41" ht="141.75" x14ac:dyDescent="0.3">
      <c r="A100" s="383" t="s">
        <v>522</v>
      </c>
      <c r="B100" s="381" t="s">
        <v>564</v>
      </c>
      <c r="C100" s="381" t="s">
        <v>571</v>
      </c>
      <c r="D100" s="381" t="s">
        <v>479</v>
      </c>
      <c r="E100" s="381" t="s">
        <v>578</v>
      </c>
      <c r="F100" s="381">
        <v>108</v>
      </c>
      <c r="G100" s="381"/>
      <c r="H100" s="381">
        <v>5.3999999999999999E-2</v>
      </c>
      <c r="I100" s="381" t="s">
        <v>581</v>
      </c>
      <c r="J100" s="381"/>
      <c r="K100" s="381">
        <v>108</v>
      </c>
      <c r="L100" s="381"/>
      <c r="M100" s="381">
        <f>0.037*2</f>
        <v>7.3999999999999996E-2</v>
      </c>
      <c r="N100" s="381" t="s">
        <v>497</v>
      </c>
      <c r="O100" s="381"/>
      <c r="P100" s="381">
        <v>2027</v>
      </c>
      <c r="Q100" s="374">
        <v>46752</v>
      </c>
      <c r="R100" s="375">
        <f>1011.667/1.2</f>
        <v>843.05583333333334</v>
      </c>
      <c r="S100" s="296">
        <v>36.503999999999998</v>
      </c>
      <c r="T100" s="296">
        <f t="shared" si="4"/>
        <v>806.55183333333332</v>
      </c>
      <c r="U100" s="296"/>
      <c r="V100" s="296"/>
      <c r="W100" s="296"/>
      <c r="X100" s="296"/>
      <c r="Y100" s="296"/>
      <c r="Z100" s="296">
        <f t="shared" si="7"/>
        <v>843.05583333333334</v>
      </c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>
        <f t="shared" si="6"/>
        <v>843.05583333333334</v>
      </c>
      <c r="AN100" s="296"/>
      <c r="AO100" s="296"/>
    </row>
    <row r="101" spans="1:41" ht="141.75" x14ac:dyDescent="0.3">
      <c r="A101" s="383" t="s">
        <v>523</v>
      </c>
      <c r="B101" s="381" t="s">
        <v>565</v>
      </c>
      <c r="C101" s="381" t="s">
        <v>571</v>
      </c>
      <c r="D101" s="381" t="s">
        <v>479</v>
      </c>
      <c r="E101" s="381" t="s">
        <v>578</v>
      </c>
      <c r="F101" s="381">
        <v>108</v>
      </c>
      <c r="G101" s="381"/>
      <c r="H101" s="381">
        <v>2.7E-2</v>
      </c>
      <c r="I101" s="381" t="s">
        <v>581</v>
      </c>
      <c r="J101" s="381"/>
      <c r="K101" s="381">
        <v>89</v>
      </c>
      <c r="L101" s="381"/>
      <c r="M101" s="381">
        <f>0.0235*2</f>
        <v>4.7E-2</v>
      </c>
      <c r="N101" s="381" t="s">
        <v>497</v>
      </c>
      <c r="O101" s="381"/>
      <c r="P101" s="381">
        <v>2027</v>
      </c>
      <c r="Q101" s="374">
        <v>46752</v>
      </c>
      <c r="R101" s="375">
        <f>624.553/1.2</f>
        <v>520.46083333333331</v>
      </c>
      <c r="S101" s="296">
        <v>23.004000000000001</v>
      </c>
      <c r="T101" s="296">
        <f t="shared" si="4"/>
        <v>497.45683333333329</v>
      </c>
      <c r="U101" s="296"/>
      <c r="V101" s="296"/>
      <c r="W101" s="296"/>
      <c r="X101" s="296"/>
      <c r="Y101" s="296"/>
      <c r="Z101" s="296">
        <f t="shared" si="7"/>
        <v>520.46083333333331</v>
      </c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>
        <f t="shared" si="6"/>
        <v>520.46083333333331</v>
      </c>
      <c r="AN101" s="296"/>
      <c r="AO101" s="296"/>
    </row>
    <row r="102" spans="1:41" ht="121.5" x14ac:dyDescent="0.3">
      <c r="A102" s="383" t="s">
        <v>524</v>
      </c>
      <c r="B102" s="381" t="s">
        <v>566</v>
      </c>
      <c r="C102" s="381" t="s">
        <v>571</v>
      </c>
      <c r="D102" s="381" t="s">
        <v>479</v>
      </c>
      <c r="E102" s="381" t="s">
        <v>578</v>
      </c>
      <c r="F102" s="381">
        <v>89</v>
      </c>
      <c r="G102" s="381"/>
      <c r="H102" s="381">
        <v>3.2599999999999997E-2</v>
      </c>
      <c r="I102" s="381" t="s">
        <v>581</v>
      </c>
      <c r="J102" s="381"/>
      <c r="K102" s="381">
        <v>89</v>
      </c>
      <c r="L102" s="381"/>
      <c r="M102" s="381">
        <v>3.2599999999999997E-2</v>
      </c>
      <c r="N102" s="381" t="s">
        <v>497</v>
      </c>
      <c r="O102" s="381"/>
      <c r="P102" s="381">
        <v>2027</v>
      </c>
      <c r="Q102" s="374">
        <v>46752</v>
      </c>
      <c r="R102" s="375">
        <f>433.201/1.2</f>
        <v>361.00083333333339</v>
      </c>
      <c r="S102" s="296">
        <v>15.956</v>
      </c>
      <c r="T102" s="296">
        <f t="shared" si="4"/>
        <v>345.04483333333337</v>
      </c>
      <c r="U102" s="296"/>
      <c r="V102" s="296"/>
      <c r="W102" s="296"/>
      <c r="X102" s="296"/>
      <c r="Y102" s="296"/>
      <c r="Z102" s="296">
        <f t="shared" si="7"/>
        <v>361.00083333333339</v>
      </c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>
        <f t="shared" si="6"/>
        <v>361.00083333333339</v>
      </c>
      <c r="AN102" s="296"/>
      <c r="AO102" s="296"/>
    </row>
    <row r="103" spans="1:41" ht="141.75" x14ac:dyDescent="0.3">
      <c r="A103" s="383" t="s">
        <v>525</v>
      </c>
      <c r="B103" s="381" t="s">
        <v>567</v>
      </c>
      <c r="C103" s="381" t="s">
        <v>571</v>
      </c>
      <c r="D103" s="381" t="s">
        <v>479</v>
      </c>
      <c r="E103" s="381" t="s">
        <v>578</v>
      </c>
      <c r="F103" s="381">
        <v>108</v>
      </c>
      <c r="G103" s="381"/>
      <c r="H103" s="381">
        <v>2.4E-2</v>
      </c>
      <c r="I103" s="381" t="s">
        <v>581</v>
      </c>
      <c r="J103" s="381"/>
      <c r="K103" s="381">
        <v>108</v>
      </c>
      <c r="L103" s="381"/>
      <c r="M103" s="381">
        <v>2.4E-2</v>
      </c>
      <c r="N103" s="381" t="s">
        <v>497</v>
      </c>
      <c r="O103" s="381"/>
      <c r="P103" s="381">
        <v>2027</v>
      </c>
      <c r="Q103" s="374">
        <v>46752</v>
      </c>
      <c r="R103" s="375">
        <v>273.42599999999999</v>
      </c>
      <c r="S103" s="296">
        <v>11.839</v>
      </c>
      <c r="T103" s="296">
        <f t="shared" si="4"/>
        <v>261.58699999999999</v>
      </c>
      <c r="U103" s="296"/>
      <c r="V103" s="296"/>
      <c r="W103" s="296"/>
      <c r="X103" s="296"/>
      <c r="Y103" s="296"/>
      <c r="Z103" s="296">
        <f t="shared" si="7"/>
        <v>273.42599999999999</v>
      </c>
      <c r="AA103" s="296"/>
      <c r="AB103" s="296"/>
      <c r="AC103" s="296"/>
      <c r="AD103" s="296"/>
      <c r="AE103" s="296"/>
      <c r="AF103" s="296"/>
      <c r="AG103" s="296"/>
      <c r="AH103" s="296"/>
      <c r="AI103" s="296"/>
      <c r="AJ103" s="296"/>
      <c r="AK103" s="296"/>
      <c r="AL103" s="296"/>
      <c r="AM103" s="296">
        <f t="shared" si="6"/>
        <v>273.42599999999999</v>
      </c>
      <c r="AN103" s="296"/>
      <c r="AO103" s="296"/>
    </row>
    <row r="104" spans="1:41" ht="81" x14ac:dyDescent="0.3">
      <c r="A104" s="383" t="s">
        <v>526</v>
      </c>
      <c r="B104" s="381" t="s">
        <v>568</v>
      </c>
      <c r="C104" s="381" t="s">
        <v>573</v>
      </c>
      <c r="D104" s="381" t="s">
        <v>479</v>
      </c>
      <c r="E104" s="381" t="s">
        <v>580</v>
      </c>
      <c r="F104" s="381">
        <v>133</v>
      </c>
      <c r="G104" s="381"/>
      <c r="H104" s="381">
        <v>2.1999999999999999E-2</v>
      </c>
      <c r="I104" s="381" t="s">
        <v>497</v>
      </c>
      <c r="J104" s="381"/>
      <c r="K104" s="381">
        <v>89</v>
      </c>
      <c r="L104" s="381"/>
      <c r="M104" s="381">
        <v>2.1999999999999999E-2</v>
      </c>
      <c r="N104" s="381" t="s">
        <v>497</v>
      </c>
      <c r="O104" s="381"/>
      <c r="P104" s="381">
        <v>2027</v>
      </c>
      <c r="Q104" s="374">
        <v>46752</v>
      </c>
      <c r="R104" s="375">
        <f>292.344/1.2</f>
        <v>243.62</v>
      </c>
      <c r="S104" s="296">
        <v>10.768000000000001</v>
      </c>
      <c r="T104" s="296">
        <f t="shared" si="4"/>
        <v>232.852</v>
      </c>
      <c r="U104" s="296"/>
      <c r="V104" s="296"/>
      <c r="W104" s="296"/>
      <c r="X104" s="296"/>
      <c r="Y104" s="296"/>
      <c r="Z104" s="296">
        <f t="shared" si="7"/>
        <v>243.62</v>
      </c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>
        <f t="shared" si="6"/>
        <v>243.62</v>
      </c>
      <c r="AN104" s="296"/>
      <c r="AO104" s="296"/>
    </row>
    <row r="105" spans="1:41" ht="121.5" x14ac:dyDescent="0.3">
      <c r="A105" s="383" t="s">
        <v>527</v>
      </c>
      <c r="B105" s="381" t="s">
        <v>569</v>
      </c>
      <c r="C105" s="381" t="s">
        <v>573</v>
      </c>
      <c r="D105" s="381" t="s">
        <v>479</v>
      </c>
      <c r="E105" s="381" t="s">
        <v>580</v>
      </c>
      <c r="F105" s="381">
        <v>133</v>
      </c>
      <c r="G105" s="381"/>
      <c r="H105" s="381">
        <v>2.9000000000000001E-2</v>
      </c>
      <c r="I105" s="381" t="s">
        <v>581</v>
      </c>
      <c r="J105" s="381"/>
      <c r="K105" s="381">
        <v>89</v>
      </c>
      <c r="L105" s="381"/>
      <c r="M105" s="381">
        <f>0.0245*2</f>
        <v>4.9000000000000002E-2</v>
      </c>
      <c r="N105" s="381" t="s">
        <v>497</v>
      </c>
      <c r="O105" s="381"/>
      <c r="P105" s="381">
        <v>2027</v>
      </c>
      <c r="Q105" s="374">
        <v>46752</v>
      </c>
      <c r="R105" s="375">
        <f>651.13/1.2</f>
        <v>542.60833333333335</v>
      </c>
      <c r="S105" s="296">
        <v>23.983000000000001</v>
      </c>
      <c r="T105" s="296">
        <f t="shared" si="4"/>
        <v>518.6253333333334</v>
      </c>
      <c r="U105" s="296"/>
      <c r="V105" s="296"/>
      <c r="W105" s="296"/>
      <c r="X105" s="296"/>
      <c r="Y105" s="296"/>
      <c r="Z105" s="296">
        <f t="shared" si="7"/>
        <v>542.60833333333335</v>
      </c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>
        <f t="shared" si="6"/>
        <v>542.60833333333335</v>
      </c>
      <c r="AN105" s="296"/>
      <c r="AO105" s="296"/>
    </row>
    <row r="106" spans="1:41" ht="21.75" customHeight="1" x14ac:dyDescent="0.3">
      <c r="A106" s="411" t="s">
        <v>132</v>
      </c>
      <c r="B106" s="412"/>
      <c r="C106" s="412"/>
      <c r="D106" s="412"/>
      <c r="E106" s="412"/>
      <c r="F106" s="412"/>
      <c r="G106" s="412"/>
      <c r="H106" s="412"/>
      <c r="I106" s="412"/>
      <c r="J106" s="412"/>
      <c r="K106" s="412"/>
      <c r="L106" s="412"/>
      <c r="M106" s="412"/>
      <c r="N106" s="413"/>
      <c r="O106" s="381"/>
      <c r="P106" s="381"/>
      <c r="Q106" s="381"/>
      <c r="R106" s="381"/>
      <c r="S106" s="381"/>
      <c r="T106" s="381"/>
      <c r="U106" s="381"/>
      <c r="V106" s="381"/>
      <c r="W106" s="381"/>
      <c r="X106" s="381"/>
      <c r="Y106" s="381"/>
      <c r="Z106" s="381"/>
      <c r="AA106" s="381"/>
      <c r="AB106" s="381"/>
      <c r="AC106" s="381"/>
      <c r="AD106" s="381"/>
      <c r="AE106" s="381"/>
      <c r="AF106" s="381"/>
      <c r="AG106" s="381"/>
      <c r="AH106" s="381"/>
      <c r="AI106" s="381"/>
      <c r="AJ106" s="381"/>
      <c r="AK106" s="381"/>
      <c r="AL106" s="381"/>
      <c r="AM106" s="381"/>
      <c r="AN106" s="381"/>
      <c r="AO106" s="381"/>
    </row>
    <row r="107" spans="1:41" x14ac:dyDescent="0.3">
      <c r="A107" s="381" t="s">
        <v>133</v>
      </c>
      <c r="B107" s="381"/>
      <c r="C107" s="381"/>
      <c r="D107" s="381"/>
      <c r="E107" s="381"/>
      <c r="F107" s="381"/>
      <c r="G107" s="381"/>
      <c r="H107" s="381"/>
      <c r="I107" s="381"/>
      <c r="J107" s="381"/>
      <c r="K107" s="381"/>
      <c r="L107" s="381"/>
      <c r="M107" s="381"/>
      <c r="N107" s="381"/>
      <c r="O107" s="381"/>
      <c r="P107" s="381"/>
      <c r="Q107" s="374"/>
      <c r="R107" s="392"/>
      <c r="S107" s="381"/>
      <c r="T107" s="376"/>
      <c r="U107" s="381"/>
      <c r="V107" s="381"/>
      <c r="W107" s="383"/>
      <c r="X107" s="381"/>
      <c r="Y107" s="381"/>
      <c r="Z107" s="376"/>
      <c r="AA107" s="381"/>
      <c r="AB107" s="376"/>
      <c r="AC107" s="381"/>
      <c r="AD107" s="381"/>
      <c r="AE107" s="381"/>
      <c r="AF107" s="381"/>
      <c r="AG107" s="381"/>
      <c r="AH107" s="381"/>
      <c r="AI107" s="381"/>
      <c r="AJ107" s="381"/>
      <c r="AK107" s="381"/>
      <c r="AL107" s="383"/>
      <c r="AM107" s="376"/>
      <c r="AN107" s="381"/>
      <c r="AO107" s="381"/>
    </row>
    <row r="108" spans="1:41" ht="20.25" customHeight="1" x14ac:dyDescent="0.3">
      <c r="A108" s="411" t="s">
        <v>134</v>
      </c>
      <c r="B108" s="412"/>
      <c r="C108" s="412"/>
      <c r="D108" s="413"/>
      <c r="E108" s="381"/>
      <c r="F108" s="295"/>
      <c r="G108" s="295"/>
      <c r="H108" s="296"/>
      <c r="I108" s="295"/>
      <c r="J108" s="295"/>
      <c r="K108" s="295"/>
      <c r="L108" s="295"/>
      <c r="M108" s="295"/>
      <c r="N108" s="295"/>
      <c r="O108" s="295"/>
      <c r="P108" s="295"/>
      <c r="Q108" s="295"/>
      <c r="R108" s="296">
        <f>SUM(R64:R105)</f>
        <v>21323.843333333338</v>
      </c>
      <c r="S108" s="296">
        <f t="shared" ref="S108:AO108" si="8">SUM(S64:S105)</f>
        <v>767.68400000000008</v>
      </c>
      <c r="T108" s="296">
        <f t="shared" si="8"/>
        <v>20556.159333333337</v>
      </c>
      <c r="U108" s="296">
        <f t="shared" si="8"/>
        <v>0</v>
      </c>
      <c r="V108" s="296">
        <f t="shared" si="8"/>
        <v>0</v>
      </c>
      <c r="W108" s="296">
        <f t="shared" si="8"/>
        <v>0</v>
      </c>
      <c r="X108" s="296">
        <f t="shared" si="8"/>
        <v>0</v>
      </c>
      <c r="Y108" s="296">
        <f t="shared" si="8"/>
        <v>11913.603999999999</v>
      </c>
      <c r="Z108" s="296">
        <f t="shared" si="8"/>
        <v>9410.239333333333</v>
      </c>
      <c r="AA108" s="296">
        <f t="shared" si="8"/>
        <v>0</v>
      </c>
      <c r="AB108" s="296">
        <f t="shared" si="8"/>
        <v>0</v>
      </c>
      <c r="AC108" s="296">
        <f t="shared" si="8"/>
        <v>0</v>
      </c>
      <c r="AD108" s="296">
        <f t="shared" si="8"/>
        <v>0</v>
      </c>
      <c r="AE108" s="296">
        <f t="shared" si="8"/>
        <v>0</v>
      </c>
      <c r="AF108" s="296">
        <f t="shared" si="8"/>
        <v>0</v>
      </c>
      <c r="AG108" s="296">
        <f t="shared" si="8"/>
        <v>0</v>
      </c>
      <c r="AH108" s="296">
        <f t="shared" si="8"/>
        <v>0</v>
      </c>
      <c r="AI108" s="296">
        <f t="shared" si="8"/>
        <v>0</v>
      </c>
      <c r="AJ108" s="296">
        <f t="shared" si="8"/>
        <v>0</v>
      </c>
      <c r="AK108" s="296">
        <f t="shared" si="8"/>
        <v>0</v>
      </c>
      <c r="AL108" s="296">
        <f t="shared" si="8"/>
        <v>0</v>
      </c>
      <c r="AM108" s="296">
        <f t="shared" si="8"/>
        <v>21323.843333333338</v>
      </c>
      <c r="AN108" s="296">
        <f t="shared" si="8"/>
        <v>0</v>
      </c>
      <c r="AO108" s="296">
        <f t="shared" si="8"/>
        <v>0</v>
      </c>
    </row>
    <row r="109" spans="1:41" ht="44.25" customHeight="1" x14ac:dyDescent="0.3">
      <c r="A109" s="411" t="s">
        <v>135</v>
      </c>
      <c r="B109" s="412"/>
      <c r="C109" s="412"/>
      <c r="D109" s="412"/>
      <c r="E109" s="412"/>
      <c r="F109" s="412"/>
      <c r="G109" s="412"/>
      <c r="H109" s="412"/>
      <c r="I109" s="412"/>
      <c r="J109" s="412"/>
      <c r="K109" s="412"/>
      <c r="L109" s="412"/>
      <c r="M109" s="412"/>
      <c r="N109" s="412"/>
      <c r="O109" s="412"/>
      <c r="P109" s="412"/>
      <c r="Q109" s="412"/>
      <c r="R109" s="412"/>
      <c r="S109" s="413"/>
      <c r="T109" s="381"/>
      <c r="U109" s="381"/>
      <c r="V109" s="381"/>
      <c r="W109" s="381"/>
      <c r="X109" s="381"/>
      <c r="Y109" s="381"/>
      <c r="Z109" s="381"/>
      <c r="AA109" s="381"/>
      <c r="AB109" s="381"/>
      <c r="AC109" s="381"/>
      <c r="AD109" s="381"/>
      <c r="AE109" s="381"/>
      <c r="AF109" s="381"/>
      <c r="AG109" s="381"/>
      <c r="AH109" s="381"/>
      <c r="AI109" s="381"/>
      <c r="AJ109" s="381"/>
      <c r="AK109" s="381"/>
      <c r="AL109" s="381"/>
      <c r="AM109" s="381"/>
      <c r="AN109" s="381"/>
      <c r="AO109" s="381"/>
    </row>
    <row r="110" spans="1:41" x14ac:dyDescent="0.3">
      <c r="A110" s="383" t="s">
        <v>5</v>
      </c>
      <c r="B110" s="381"/>
      <c r="C110" s="381"/>
      <c r="D110" s="381"/>
      <c r="E110" s="381"/>
      <c r="F110" s="295"/>
      <c r="G110" s="295"/>
      <c r="H110" s="295"/>
      <c r="I110" s="295"/>
      <c r="J110" s="295"/>
      <c r="K110" s="295"/>
      <c r="L110" s="295"/>
      <c r="M110" s="295"/>
      <c r="N110" s="295"/>
      <c r="O110" s="295"/>
      <c r="P110" s="295"/>
      <c r="Q110" s="295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</row>
    <row r="111" spans="1:41" x14ac:dyDescent="0.3">
      <c r="A111" s="383" t="s">
        <v>6</v>
      </c>
      <c r="B111" s="381"/>
      <c r="C111" s="381"/>
      <c r="D111" s="381"/>
      <c r="E111" s="381"/>
      <c r="F111" s="295"/>
      <c r="G111" s="295"/>
      <c r="H111" s="295"/>
      <c r="I111" s="295"/>
      <c r="J111" s="295"/>
      <c r="K111" s="295"/>
      <c r="L111" s="295"/>
      <c r="M111" s="295"/>
      <c r="N111" s="295"/>
      <c r="O111" s="295"/>
      <c r="P111" s="295"/>
      <c r="Q111" s="295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</row>
    <row r="112" spans="1:41" ht="21.75" customHeight="1" x14ac:dyDescent="0.3">
      <c r="A112" s="411" t="s">
        <v>136</v>
      </c>
      <c r="B112" s="412"/>
      <c r="C112" s="412"/>
      <c r="D112" s="413"/>
      <c r="E112" s="381"/>
      <c r="F112" s="295"/>
      <c r="G112" s="295"/>
      <c r="H112" s="295"/>
      <c r="I112" s="295"/>
      <c r="J112" s="295"/>
      <c r="K112" s="295"/>
      <c r="L112" s="295"/>
      <c r="M112" s="295"/>
      <c r="N112" s="295"/>
      <c r="O112" s="295"/>
      <c r="P112" s="295"/>
      <c r="Q112" s="295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</row>
    <row r="113" spans="1:41" ht="24.75" customHeight="1" x14ac:dyDescent="0.3">
      <c r="A113" s="411" t="s">
        <v>137</v>
      </c>
      <c r="B113" s="412"/>
      <c r="C113" s="412"/>
      <c r="D113" s="412"/>
      <c r="E113" s="412"/>
      <c r="F113" s="412"/>
      <c r="G113" s="412"/>
      <c r="H113" s="412"/>
      <c r="I113" s="412"/>
      <c r="J113" s="412"/>
      <c r="K113" s="412"/>
      <c r="L113" s="412"/>
      <c r="M113" s="412"/>
      <c r="N113" s="412"/>
      <c r="O113" s="412"/>
      <c r="P113" s="412"/>
      <c r="Q113" s="412"/>
      <c r="R113" s="379"/>
      <c r="S113" s="379"/>
      <c r="T113" s="379"/>
      <c r="U113" s="379"/>
      <c r="V113" s="379"/>
      <c r="W113" s="379"/>
      <c r="X113" s="379"/>
      <c r="Y113" s="379"/>
      <c r="Z113" s="379"/>
      <c r="AA113" s="379"/>
      <c r="AB113" s="379"/>
      <c r="AC113" s="379"/>
      <c r="AD113" s="379"/>
      <c r="AE113" s="379"/>
      <c r="AF113" s="379"/>
      <c r="AG113" s="379"/>
      <c r="AH113" s="379"/>
      <c r="AI113" s="379"/>
      <c r="AJ113" s="379"/>
      <c r="AK113" s="379"/>
      <c r="AL113" s="379"/>
      <c r="AM113" s="379"/>
      <c r="AN113" s="379"/>
      <c r="AO113" s="380"/>
    </row>
    <row r="114" spans="1:41" ht="31.5" customHeight="1" x14ac:dyDescent="0.3">
      <c r="A114" s="411" t="s">
        <v>138</v>
      </c>
      <c r="B114" s="412"/>
      <c r="C114" s="412"/>
      <c r="D114" s="412"/>
      <c r="E114" s="412"/>
      <c r="F114" s="412"/>
      <c r="G114" s="412"/>
      <c r="H114" s="412"/>
      <c r="I114" s="412"/>
      <c r="J114" s="412"/>
      <c r="K114" s="412"/>
      <c r="L114" s="412"/>
      <c r="M114" s="412"/>
      <c r="N114" s="412"/>
      <c r="O114" s="412"/>
      <c r="P114" s="412"/>
      <c r="Q114" s="412"/>
      <c r="R114" s="412"/>
      <c r="S114" s="412"/>
      <c r="T114" s="379"/>
      <c r="U114" s="379"/>
      <c r="V114" s="379"/>
      <c r="W114" s="379"/>
      <c r="X114" s="379"/>
      <c r="Y114" s="379"/>
      <c r="Z114" s="379"/>
      <c r="AA114" s="379"/>
      <c r="AB114" s="379"/>
      <c r="AC114" s="379"/>
      <c r="AD114" s="379"/>
      <c r="AE114" s="379"/>
      <c r="AF114" s="379"/>
      <c r="AG114" s="379"/>
      <c r="AH114" s="379"/>
      <c r="AI114" s="379"/>
      <c r="AJ114" s="379"/>
      <c r="AK114" s="379"/>
      <c r="AL114" s="379"/>
      <c r="AM114" s="379"/>
      <c r="AN114" s="379"/>
      <c r="AO114" s="380"/>
    </row>
    <row r="115" spans="1:41" ht="141.75" x14ac:dyDescent="0.3">
      <c r="A115" s="383" t="s">
        <v>139</v>
      </c>
      <c r="B115" s="381" t="s">
        <v>604</v>
      </c>
      <c r="C115" s="381" t="s">
        <v>570</v>
      </c>
      <c r="D115" s="381" t="s">
        <v>479</v>
      </c>
      <c r="E115" s="381" t="s">
        <v>575</v>
      </c>
      <c r="F115" s="381">
        <v>32</v>
      </c>
      <c r="G115" s="381"/>
      <c r="H115" s="381">
        <v>2.6800000000000001E-2</v>
      </c>
      <c r="I115" s="381" t="s">
        <v>497</v>
      </c>
      <c r="J115" s="381"/>
      <c r="K115" s="381"/>
      <c r="L115" s="381"/>
      <c r="M115" s="381"/>
      <c r="N115" s="381"/>
      <c r="O115" s="381"/>
      <c r="P115" s="384">
        <v>2025</v>
      </c>
      <c r="Q115" s="372">
        <v>46022</v>
      </c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</row>
    <row r="116" spans="1:41" ht="141.75" x14ac:dyDescent="0.3">
      <c r="A116" s="383" t="s">
        <v>140</v>
      </c>
      <c r="B116" s="381" t="s">
        <v>605</v>
      </c>
      <c r="C116" s="381" t="s">
        <v>570</v>
      </c>
      <c r="D116" s="381" t="s">
        <v>479</v>
      </c>
      <c r="E116" s="381" t="s">
        <v>575</v>
      </c>
      <c r="F116" s="381">
        <v>32</v>
      </c>
      <c r="G116" s="381"/>
      <c r="H116" s="381">
        <v>4.1000000000000002E-2</v>
      </c>
      <c r="I116" s="381" t="s">
        <v>627</v>
      </c>
      <c r="J116" s="381"/>
      <c r="K116" s="381"/>
      <c r="L116" s="381"/>
      <c r="M116" s="381"/>
      <c r="N116" s="381"/>
      <c r="O116" s="381"/>
      <c r="P116" s="384">
        <v>2025</v>
      </c>
      <c r="Q116" s="372">
        <v>46022</v>
      </c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</row>
    <row r="117" spans="1:41" ht="141.75" x14ac:dyDescent="0.3">
      <c r="A117" s="383" t="s">
        <v>582</v>
      </c>
      <c r="B117" s="381" t="s">
        <v>626</v>
      </c>
      <c r="C117" s="381" t="s">
        <v>570</v>
      </c>
      <c r="D117" s="381" t="s">
        <v>479</v>
      </c>
      <c r="E117" s="381" t="s">
        <v>575</v>
      </c>
      <c r="F117" s="381">
        <v>45</v>
      </c>
      <c r="G117" s="381"/>
      <c r="H117" s="381">
        <v>0.01</v>
      </c>
      <c r="I117" s="381" t="s">
        <v>627</v>
      </c>
      <c r="J117" s="381"/>
      <c r="K117" s="381"/>
      <c r="L117" s="381"/>
      <c r="M117" s="381"/>
      <c r="N117" s="381"/>
      <c r="O117" s="381"/>
      <c r="P117" s="384">
        <v>2025</v>
      </c>
      <c r="Q117" s="372">
        <v>46022</v>
      </c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</row>
    <row r="118" spans="1:41" ht="141.75" x14ac:dyDescent="0.3">
      <c r="A118" s="383" t="s">
        <v>583</v>
      </c>
      <c r="B118" s="381" t="s">
        <v>606</v>
      </c>
      <c r="C118" s="381" t="s">
        <v>570</v>
      </c>
      <c r="D118" s="381" t="s">
        <v>479</v>
      </c>
      <c r="E118" s="381" t="s">
        <v>575</v>
      </c>
      <c r="F118" s="381">
        <v>57</v>
      </c>
      <c r="G118" s="381"/>
      <c r="H118" s="381">
        <v>3.44E-2</v>
      </c>
      <c r="I118" s="381" t="s">
        <v>627</v>
      </c>
      <c r="J118" s="381"/>
      <c r="K118" s="381"/>
      <c r="L118" s="381"/>
      <c r="M118" s="381"/>
      <c r="N118" s="381"/>
      <c r="O118" s="381"/>
      <c r="P118" s="384">
        <v>2025</v>
      </c>
      <c r="Q118" s="372">
        <v>46022</v>
      </c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</row>
    <row r="119" spans="1:41" ht="141.75" x14ac:dyDescent="0.3">
      <c r="A119" s="383" t="s">
        <v>584</v>
      </c>
      <c r="B119" s="381" t="s">
        <v>607</v>
      </c>
      <c r="C119" s="381" t="s">
        <v>570</v>
      </c>
      <c r="D119" s="381" t="s">
        <v>479</v>
      </c>
      <c r="E119" s="381" t="s">
        <v>575</v>
      </c>
      <c r="F119" s="381">
        <v>150</v>
      </c>
      <c r="G119" s="381"/>
      <c r="H119" s="381">
        <v>1.12E-2</v>
      </c>
      <c r="I119" s="381" t="s">
        <v>627</v>
      </c>
      <c r="J119" s="381"/>
      <c r="K119" s="381"/>
      <c r="L119" s="381"/>
      <c r="M119" s="381"/>
      <c r="N119" s="381"/>
      <c r="O119" s="381"/>
      <c r="P119" s="384">
        <v>2025</v>
      </c>
      <c r="Q119" s="372">
        <v>46022</v>
      </c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</row>
    <row r="120" spans="1:41" ht="141.75" x14ac:dyDescent="0.3">
      <c r="A120" s="383" t="s">
        <v>585</v>
      </c>
      <c r="B120" s="381" t="s">
        <v>608</v>
      </c>
      <c r="C120" s="381" t="s">
        <v>570</v>
      </c>
      <c r="D120" s="381" t="s">
        <v>479</v>
      </c>
      <c r="E120" s="381" t="s">
        <v>575</v>
      </c>
      <c r="F120" s="381">
        <v>159</v>
      </c>
      <c r="G120" s="381"/>
      <c r="H120" s="381">
        <v>0.01</v>
      </c>
      <c r="I120" s="381" t="s">
        <v>627</v>
      </c>
      <c r="J120" s="381"/>
      <c r="K120" s="381"/>
      <c r="L120" s="381"/>
      <c r="M120" s="381"/>
      <c r="N120" s="381"/>
      <c r="O120" s="381"/>
      <c r="P120" s="384">
        <v>2025</v>
      </c>
      <c r="Q120" s="372">
        <v>46022</v>
      </c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</row>
    <row r="121" spans="1:41" ht="101.25" x14ac:dyDescent="0.3">
      <c r="A121" s="383" t="s">
        <v>586</v>
      </c>
      <c r="B121" s="381" t="s">
        <v>609</v>
      </c>
      <c r="C121" s="381" t="s">
        <v>570</v>
      </c>
      <c r="D121" s="381" t="s">
        <v>479</v>
      </c>
      <c r="E121" s="381" t="s">
        <v>575</v>
      </c>
      <c r="F121" s="381">
        <v>57</v>
      </c>
      <c r="G121" s="381"/>
      <c r="H121" s="381">
        <v>8.9999999999999993E-3</v>
      </c>
      <c r="I121" s="381" t="s">
        <v>627</v>
      </c>
      <c r="J121" s="381"/>
      <c r="K121" s="381"/>
      <c r="L121" s="381"/>
      <c r="M121" s="381"/>
      <c r="N121" s="381"/>
      <c r="O121" s="381"/>
      <c r="P121" s="384">
        <v>2025</v>
      </c>
      <c r="Q121" s="372">
        <v>46022</v>
      </c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</row>
    <row r="122" spans="1:41" ht="121.5" x14ac:dyDescent="0.3">
      <c r="A122" s="383" t="s">
        <v>587</v>
      </c>
      <c r="B122" s="381" t="s">
        <v>610</v>
      </c>
      <c r="C122" s="381" t="s">
        <v>570</v>
      </c>
      <c r="D122" s="381" t="s">
        <v>479</v>
      </c>
      <c r="E122" s="381" t="s">
        <v>575</v>
      </c>
      <c r="F122" s="381">
        <v>76</v>
      </c>
      <c r="G122" s="381"/>
      <c r="H122" s="381">
        <v>0.17</v>
      </c>
      <c r="I122" s="381" t="s">
        <v>627</v>
      </c>
      <c r="J122" s="381"/>
      <c r="K122" s="381"/>
      <c r="L122" s="381"/>
      <c r="M122" s="381"/>
      <c r="N122" s="381"/>
      <c r="O122" s="381"/>
      <c r="P122" s="384">
        <v>2025</v>
      </c>
      <c r="Q122" s="372">
        <v>46022</v>
      </c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</row>
    <row r="123" spans="1:41" ht="141.75" x14ac:dyDescent="0.3">
      <c r="A123" s="383" t="s">
        <v>588</v>
      </c>
      <c r="B123" s="381" t="s">
        <v>611</v>
      </c>
      <c r="C123" s="381" t="s">
        <v>570</v>
      </c>
      <c r="D123" s="381" t="s">
        <v>479</v>
      </c>
      <c r="E123" s="381" t="s">
        <v>576</v>
      </c>
      <c r="F123" s="381">
        <v>57</v>
      </c>
      <c r="G123" s="381"/>
      <c r="H123" s="381">
        <v>0.187</v>
      </c>
      <c r="I123" s="381" t="s">
        <v>627</v>
      </c>
      <c r="J123" s="381"/>
      <c r="K123" s="381"/>
      <c r="L123" s="381"/>
      <c r="M123" s="381"/>
      <c r="N123" s="381"/>
      <c r="O123" s="381"/>
      <c r="P123" s="384">
        <v>2025</v>
      </c>
      <c r="Q123" s="372">
        <v>46022</v>
      </c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</row>
    <row r="124" spans="1:41" ht="141.75" x14ac:dyDescent="0.3">
      <c r="A124" s="383" t="s">
        <v>589</v>
      </c>
      <c r="B124" s="381" t="s">
        <v>612</v>
      </c>
      <c r="C124" s="381" t="s">
        <v>570</v>
      </c>
      <c r="D124" s="381" t="s">
        <v>479</v>
      </c>
      <c r="E124" s="381" t="s">
        <v>575</v>
      </c>
      <c r="F124" s="381">
        <v>76</v>
      </c>
      <c r="G124" s="381"/>
      <c r="H124" s="381">
        <v>0.01</v>
      </c>
      <c r="I124" s="381" t="s">
        <v>497</v>
      </c>
      <c r="J124" s="381"/>
      <c r="K124" s="381"/>
      <c r="L124" s="381"/>
      <c r="M124" s="381"/>
      <c r="N124" s="381"/>
      <c r="O124" s="381"/>
      <c r="P124" s="384">
        <v>2025</v>
      </c>
      <c r="Q124" s="372">
        <v>46022</v>
      </c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96"/>
      <c r="AC124" s="296"/>
      <c r="AD124" s="296"/>
      <c r="AE124" s="296"/>
      <c r="AF124" s="296"/>
      <c r="AG124" s="296"/>
      <c r="AH124" s="296"/>
      <c r="AI124" s="296"/>
      <c r="AJ124" s="296"/>
      <c r="AK124" s="296"/>
      <c r="AL124" s="296"/>
      <c r="AM124" s="296"/>
      <c r="AN124" s="296"/>
      <c r="AO124" s="296"/>
    </row>
    <row r="125" spans="1:41" ht="141.75" x14ac:dyDescent="0.3">
      <c r="A125" s="383" t="s">
        <v>590</v>
      </c>
      <c r="B125" s="381" t="s">
        <v>802</v>
      </c>
      <c r="C125" s="381" t="s">
        <v>570</v>
      </c>
      <c r="D125" s="381" t="s">
        <v>479</v>
      </c>
      <c r="E125" s="381" t="s">
        <v>575</v>
      </c>
      <c r="F125" s="381">
        <v>76</v>
      </c>
      <c r="G125" s="381"/>
      <c r="H125" s="381">
        <v>1.6199999999999999E-2</v>
      </c>
      <c r="I125" s="381" t="s">
        <v>497</v>
      </c>
      <c r="J125" s="381"/>
      <c r="K125" s="381"/>
      <c r="L125" s="381"/>
      <c r="M125" s="381"/>
      <c r="N125" s="381"/>
      <c r="O125" s="381"/>
      <c r="P125" s="384">
        <v>2025</v>
      </c>
      <c r="Q125" s="372">
        <v>46022</v>
      </c>
      <c r="R125" s="296"/>
      <c r="S125" s="296"/>
      <c r="T125" s="296"/>
      <c r="U125" s="296"/>
      <c r="V125" s="296"/>
      <c r="W125" s="296"/>
      <c r="X125" s="296"/>
      <c r="Y125" s="296"/>
      <c r="Z125" s="296"/>
      <c r="AA125" s="296"/>
      <c r="AB125" s="296"/>
      <c r="AC125" s="296"/>
      <c r="AD125" s="296"/>
      <c r="AE125" s="296"/>
      <c r="AF125" s="296"/>
      <c r="AG125" s="296"/>
      <c r="AH125" s="296"/>
      <c r="AI125" s="296"/>
      <c r="AJ125" s="296"/>
      <c r="AK125" s="296"/>
      <c r="AL125" s="296"/>
      <c r="AM125" s="296"/>
      <c r="AN125" s="296"/>
      <c r="AO125" s="296"/>
    </row>
    <row r="126" spans="1:41" ht="141.75" x14ac:dyDescent="0.3">
      <c r="A126" s="383" t="s">
        <v>591</v>
      </c>
      <c r="B126" s="381" t="s">
        <v>613</v>
      </c>
      <c r="C126" s="381" t="s">
        <v>572</v>
      </c>
      <c r="D126" s="381" t="s">
        <v>479</v>
      </c>
      <c r="E126" s="381" t="s">
        <v>577</v>
      </c>
      <c r="F126" s="381">
        <v>108</v>
      </c>
      <c r="G126" s="381"/>
      <c r="H126" s="381">
        <v>0.02</v>
      </c>
      <c r="I126" s="381" t="s">
        <v>497</v>
      </c>
      <c r="J126" s="381"/>
      <c r="K126" s="381"/>
      <c r="L126" s="381"/>
      <c r="M126" s="381"/>
      <c r="N126" s="381"/>
      <c r="O126" s="381"/>
      <c r="P126" s="381">
        <v>2025</v>
      </c>
      <c r="Q126" s="374">
        <v>46022</v>
      </c>
      <c r="R126" s="296"/>
      <c r="S126" s="296"/>
      <c r="T126" s="296"/>
      <c r="U126" s="296"/>
      <c r="V126" s="296"/>
      <c r="W126" s="296"/>
      <c r="X126" s="296"/>
      <c r="Y126" s="296"/>
      <c r="Z126" s="296"/>
      <c r="AA126" s="296"/>
      <c r="AB126" s="296"/>
      <c r="AC126" s="296"/>
      <c r="AD126" s="296"/>
      <c r="AE126" s="296"/>
      <c r="AF126" s="296"/>
      <c r="AG126" s="296"/>
      <c r="AH126" s="296"/>
      <c r="AI126" s="296"/>
      <c r="AJ126" s="296"/>
      <c r="AK126" s="296"/>
      <c r="AL126" s="296"/>
      <c r="AM126" s="296"/>
      <c r="AN126" s="296"/>
      <c r="AO126" s="296"/>
    </row>
    <row r="127" spans="1:41" ht="141.75" x14ac:dyDescent="0.3">
      <c r="A127" s="383" t="s">
        <v>592</v>
      </c>
      <c r="B127" s="381" t="s">
        <v>614</v>
      </c>
      <c r="C127" s="381" t="s">
        <v>572</v>
      </c>
      <c r="D127" s="381" t="s">
        <v>479</v>
      </c>
      <c r="E127" s="381" t="s">
        <v>577</v>
      </c>
      <c r="F127" s="381">
        <v>108</v>
      </c>
      <c r="G127" s="381"/>
      <c r="H127" s="381">
        <v>7.0000000000000007E-2</v>
      </c>
      <c r="I127" s="381" t="s">
        <v>627</v>
      </c>
      <c r="J127" s="381"/>
      <c r="K127" s="381"/>
      <c r="L127" s="381"/>
      <c r="M127" s="381"/>
      <c r="N127" s="381"/>
      <c r="O127" s="381"/>
      <c r="P127" s="381">
        <v>2025</v>
      </c>
      <c r="Q127" s="374">
        <v>46022</v>
      </c>
      <c r="R127" s="296"/>
      <c r="S127" s="296"/>
      <c r="T127" s="296"/>
      <c r="U127" s="296"/>
      <c r="V127" s="296"/>
      <c r="W127" s="296"/>
      <c r="X127" s="296"/>
      <c r="Y127" s="296"/>
      <c r="Z127" s="296"/>
      <c r="AA127" s="296"/>
      <c r="AB127" s="296"/>
      <c r="AC127" s="296"/>
      <c r="AD127" s="296"/>
      <c r="AE127" s="296"/>
      <c r="AF127" s="296"/>
      <c r="AG127" s="296"/>
      <c r="AH127" s="296"/>
      <c r="AI127" s="296"/>
      <c r="AJ127" s="296"/>
      <c r="AK127" s="296"/>
      <c r="AL127" s="296"/>
      <c r="AM127" s="296"/>
      <c r="AN127" s="296"/>
      <c r="AO127" s="296"/>
    </row>
    <row r="128" spans="1:41" ht="141.75" x14ac:dyDescent="0.3">
      <c r="A128" s="383" t="s">
        <v>593</v>
      </c>
      <c r="B128" s="381" t="s">
        <v>615</v>
      </c>
      <c r="C128" s="381" t="s">
        <v>572</v>
      </c>
      <c r="D128" s="381" t="s">
        <v>479</v>
      </c>
      <c r="E128" s="381" t="s">
        <v>577</v>
      </c>
      <c r="F128" s="381">
        <v>76</v>
      </c>
      <c r="G128" s="381"/>
      <c r="H128" s="381">
        <v>7.3999999999999996E-2</v>
      </c>
      <c r="I128" s="381" t="s">
        <v>627</v>
      </c>
      <c r="J128" s="381"/>
      <c r="K128" s="381"/>
      <c r="L128" s="381"/>
      <c r="M128" s="381"/>
      <c r="N128" s="381"/>
      <c r="O128" s="381"/>
      <c r="P128" s="381">
        <v>2025</v>
      </c>
      <c r="Q128" s="374">
        <v>46022</v>
      </c>
      <c r="R128" s="296"/>
      <c r="S128" s="296"/>
      <c r="T128" s="296"/>
      <c r="U128" s="296"/>
      <c r="V128" s="296"/>
      <c r="W128" s="296"/>
      <c r="X128" s="296"/>
      <c r="Y128" s="296"/>
      <c r="Z128" s="296"/>
      <c r="AA128" s="296"/>
      <c r="AB128" s="296"/>
      <c r="AC128" s="296"/>
      <c r="AD128" s="296"/>
      <c r="AE128" s="296"/>
      <c r="AF128" s="296"/>
      <c r="AG128" s="296"/>
      <c r="AH128" s="296"/>
      <c r="AI128" s="296"/>
      <c r="AJ128" s="296"/>
      <c r="AK128" s="296"/>
      <c r="AL128" s="296"/>
      <c r="AM128" s="296"/>
      <c r="AN128" s="296"/>
      <c r="AO128" s="296"/>
    </row>
    <row r="129" spans="1:41" ht="121.5" x14ac:dyDescent="0.3">
      <c r="A129" s="383" t="s">
        <v>594</v>
      </c>
      <c r="B129" s="381" t="s">
        <v>616</v>
      </c>
      <c r="C129" s="381" t="s">
        <v>572</v>
      </c>
      <c r="D129" s="381" t="s">
        <v>479</v>
      </c>
      <c r="E129" s="381" t="s">
        <v>577</v>
      </c>
      <c r="F129" s="381">
        <v>76</v>
      </c>
      <c r="G129" s="381"/>
      <c r="H129" s="381">
        <v>0.14799999999999999</v>
      </c>
      <c r="I129" s="381" t="s">
        <v>627</v>
      </c>
      <c r="J129" s="381"/>
      <c r="K129" s="381"/>
      <c r="L129" s="381"/>
      <c r="M129" s="381"/>
      <c r="N129" s="381"/>
      <c r="O129" s="381"/>
      <c r="P129" s="381">
        <v>2025</v>
      </c>
      <c r="Q129" s="374">
        <v>46022</v>
      </c>
      <c r="R129" s="296"/>
      <c r="S129" s="296"/>
      <c r="T129" s="296"/>
      <c r="U129" s="296"/>
      <c r="V129" s="296"/>
      <c r="W129" s="296"/>
      <c r="X129" s="296"/>
      <c r="Y129" s="296"/>
      <c r="Z129" s="296"/>
      <c r="AA129" s="296"/>
      <c r="AB129" s="296"/>
      <c r="AC129" s="296"/>
      <c r="AD129" s="296"/>
      <c r="AE129" s="296"/>
      <c r="AF129" s="296"/>
      <c r="AG129" s="296"/>
      <c r="AH129" s="296"/>
      <c r="AI129" s="296"/>
      <c r="AJ129" s="296"/>
      <c r="AK129" s="296"/>
      <c r="AL129" s="296"/>
      <c r="AM129" s="296"/>
      <c r="AN129" s="296"/>
      <c r="AO129" s="296"/>
    </row>
    <row r="130" spans="1:41" ht="121.5" x14ac:dyDescent="0.3">
      <c r="A130" s="383" t="s">
        <v>595</v>
      </c>
      <c r="B130" s="381" t="s">
        <v>617</v>
      </c>
      <c r="C130" s="381" t="s">
        <v>572</v>
      </c>
      <c r="D130" s="381" t="s">
        <v>479</v>
      </c>
      <c r="E130" s="381" t="s">
        <v>577</v>
      </c>
      <c r="F130" s="381">
        <v>76</v>
      </c>
      <c r="G130" s="381"/>
      <c r="H130" s="381">
        <v>8.4000000000000005E-2</v>
      </c>
      <c r="I130" s="381" t="s">
        <v>627</v>
      </c>
      <c r="J130" s="381"/>
      <c r="K130" s="381"/>
      <c r="L130" s="381"/>
      <c r="M130" s="381"/>
      <c r="N130" s="381"/>
      <c r="O130" s="381"/>
      <c r="P130" s="381">
        <v>2025</v>
      </c>
      <c r="Q130" s="374">
        <v>46022</v>
      </c>
      <c r="R130" s="296"/>
      <c r="S130" s="296"/>
      <c r="T130" s="296"/>
      <c r="U130" s="296"/>
      <c r="V130" s="296"/>
      <c r="W130" s="296"/>
      <c r="X130" s="296"/>
      <c r="Y130" s="296"/>
      <c r="Z130" s="296"/>
      <c r="AA130" s="296"/>
      <c r="AB130" s="296"/>
      <c r="AC130" s="296"/>
      <c r="AD130" s="296"/>
      <c r="AE130" s="296"/>
      <c r="AF130" s="296"/>
      <c r="AG130" s="296"/>
      <c r="AH130" s="296"/>
      <c r="AI130" s="296"/>
      <c r="AJ130" s="296"/>
      <c r="AK130" s="296"/>
      <c r="AL130" s="296"/>
      <c r="AM130" s="296"/>
      <c r="AN130" s="296"/>
      <c r="AO130" s="296"/>
    </row>
    <row r="131" spans="1:41" ht="162" x14ac:dyDescent="0.3">
      <c r="A131" s="383" t="s">
        <v>596</v>
      </c>
      <c r="B131" s="381" t="s">
        <v>618</v>
      </c>
      <c r="C131" s="381" t="s">
        <v>571</v>
      </c>
      <c r="D131" s="381" t="s">
        <v>479</v>
      </c>
      <c r="E131" s="381" t="s">
        <v>578</v>
      </c>
      <c r="F131" s="381">
        <v>133</v>
      </c>
      <c r="G131" s="381"/>
      <c r="H131" s="381">
        <v>0.1114</v>
      </c>
      <c r="I131" s="381" t="s">
        <v>627</v>
      </c>
      <c r="J131" s="381"/>
      <c r="K131" s="381"/>
      <c r="L131" s="381"/>
      <c r="M131" s="381"/>
      <c r="N131" s="381"/>
      <c r="O131" s="381"/>
      <c r="P131" s="381">
        <v>2025</v>
      </c>
      <c r="Q131" s="374">
        <v>46022</v>
      </c>
      <c r="R131" s="296"/>
      <c r="S131" s="296"/>
      <c r="T131" s="296"/>
      <c r="U131" s="296"/>
      <c r="V131" s="296"/>
      <c r="W131" s="296"/>
      <c r="X131" s="296"/>
      <c r="Y131" s="296"/>
      <c r="Z131" s="296"/>
      <c r="AA131" s="296"/>
      <c r="AB131" s="296"/>
      <c r="AC131" s="296"/>
      <c r="AD131" s="296"/>
      <c r="AE131" s="296"/>
      <c r="AF131" s="296"/>
      <c r="AG131" s="296"/>
      <c r="AH131" s="296"/>
      <c r="AI131" s="296"/>
      <c r="AJ131" s="296"/>
      <c r="AK131" s="296"/>
      <c r="AL131" s="296"/>
      <c r="AM131" s="296"/>
      <c r="AN131" s="296"/>
      <c r="AO131" s="296"/>
    </row>
    <row r="132" spans="1:41" ht="141.75" x14ac:dyDescent="0.3">
      <c r="A132" s="383" t="s">
        <v>597</v>
      </c>
      <c r="B132" s="381" t="s">
        <v>619</v>
      </c>
      <c r="C132" s="381" t="s">
        <v>571</v>
      </c>
      <c r="D132" s="381" t="s">
        <v>479</v>
      </c>
      <c r="E132" s="381" t="s">
        <v>578</v>
      </c>
      <c r="F132" s="381">
        <v>133</v>
      </c>
      <c r="G132" s="381"/>
      <c r="H132" s="381">
        <v>0.192</v>
      </c>
      <c r="I132" s="381" t="s">
        <v>627</v>
      </c>
      <c r="J132" s="381"/>
      <c r="K132" s="381"/>
      <c r="L132" s="381"/>
      <c r="M132" s="381"/>
      <c r="N132" s="381"/>
      <c r="O132" s="381"/>
      <c r="P132" s="381">
        <v>2025</v>
      </c>
      <c r="Q132" s="374">
        <v>46022</v>
      </c>
      <c r="R132" s="296"/>
      <c r="S132" s="296"/>
      <c r="T132" s="296"/>
      <c r="U132" s="296"/>
      <c r="V132" s="296"/>
      <c r="W132" s="296"/>
      <c r="X132" s="296"/>
      <c r="Y132" s="296"/>
      <c r="Z132" s="296"/>
      <c r="AA132" s="296"/>
      <c r="AB132" s="296"/>
      <c r="AC132" s="296"/>
      <c r="AD132" s="296"/>
      <c r="AE132" s="296"/>
      <c r="AF132" s="296"/>
      <c r="AG132" s="296"/>
      <c r="AH132" s="296"/>
      <c r="AI132" s="296"/>
      <c r="AJ132" s="296"/>
      <c r="AK132" s="296"/>
      <c r="AL132" s="296"/>
      <c r="AM132" s="296"/>
      <c r="AN132" s="296"/>
      <c r="AO132" s="296"/>
    </row>
    <row r="133" spans="1:41" ht="141.75" x14ac:dyDescent="0.3">
      <c r="A133" s="383" t="s">
        <v>598</v>
      </c>
      <c r="B133" s="381" t="s">
        <v>620</v>
      </c>
      <c r="C133" s="381" t="s">
        <v>571</v>
      </c>
      <c r="D133" s="381" t="s">
        <v>479</v>
      </c>
      <c r="E133" s="381" t="s">
        <v>578</v>
      </c>
      <c r="F133" s="381">
        <v>159</v>
      </c>
      <c r="G133" s="381"/>
      <c r="H133" s="381">
        <v>8.4000000000000005E-2</v>
      </c>
      <c r="I133" s="381" t="s">
        <v>627</v>
      </c>
      <c r="J133" s="381"/>
      <c r="K133" s="381"/>
      <c r="L133" s="381"/>
      <c r="M133" s="381"/>
      <c r="N133" s="381"/>
      <c r="O133" s="381"/>
      <c r="P133" s="381">
        <v>2025</v>
      </c>
      <c r="Q133" s="374">
        <v>46022</v>
      </c>
      <c r="R133" s="296"/>
      <c r="S133" s="296"/>
      <c r="T133" s="296"/>
      <c r="U133" s="296"/>
      <c r="V133" s="296"/>
      <c r="W133" s="296"/>
      <c r="X133" s="296"/>
      <c r="Y133" s="296"/>
      <c r="Z133" s="296"/>
      <c r="AA133" s="296"/>
      <c r="AB133" s="296"/>
      <c r="AC133" s="296"/>
      <c r="AD133" s="296"/>
      <c r="AE133" s="296"/>
      <c r="AF133" s="296"/>
      <c r="AG133" s="296"/>
      <c r="AH133" s="296"/>
      <c r="AI133" s="296"/>
      <c r="AJ133" s="296"/>
      <c r="AK133" s="296"/>
      <c r="AL133" s="296"/>
      <c r="AM133" s="296"/>
      <c r="AN133" s="296"/>
      <c r="AO133" s="296"/>
    </row>
    <row r="134" spans="1:41" ht="141.75" x14ac:dyDescent="0.3">
      <c r="A134" s="383" t="s">
        <v>599</v>
      </c>
      <c r="B134" s="381" t="s">
        <v>621</v>
      </c>
      <c r="C134" s="381" t="s">
        <v>571</v>
      </c>
      <c r="D134" s="381" t="s">
        <v>479</v>
      </c>
      <c r="E134" s="381" t="s">
        <v>578</v>
      </c>
      <c r="F134" s="381">
        <v>108</v>
      </c>
      <c r="G134" s="381"/>
      <c r="H134" s="381">
        <v>3.7999999999999999E-2</v>
      </c>
      <c r="I134" s="381" t="s">
        <v>627</v>
      </c>
      <c r="J134" s="381"/>
      <c r="K134" s="381"/>
      <c r="L134" s="381"/>
      <c r="M134" s="381"/>
      <c r="N134" s="381"/>
      <c r="O134" s="381"/>
      <c r="P134" s="381">
        <v>2025</v>
      </c>
      <c r="Q134" s="374">
        <v>46022</v>
      </c>
      <c r="R134" s="296"/>
      <c r="S134" s="296"/>
      <c r="T134" s="296"/>
      <c r="U134" s="296"/>
      <c r="V134" s="296"/>
      <c r="W134" s="296"/>
      <c r="X134" s="296"/>
      <c r="Y134" s="296"/>
      <c r="Z134" s="296"/>
      <c r="AA134" s="296"/>
      <c r="AB134" s="296"/>
      <c r="AC134" s="296"/>
      <c r="AD134" s="296"/>
      <c r="AE134" s="296"/>
      <c r="AF134" s="296"/>
      <c r="AG134" s="296"/>
      <c r="AH134" s="296"/>
      <c r="AI134" s="296"/>
      <c r="AJ134" s="296"/>
      <c r="AK134" s="296"/>
      <c r="AL134" s="296"/>
      <c r="AM134" s="296"/>
      <c r="AN134" s="296"/>
      <c r="AO134" s="296"/>
    </row>
    <row r="135" spans="1:41" ht="141.75" x14ac:dyDescent="0.3">
      <c r="A135" s="383" t="s">
        <v>600</v>
      </c>
      <c r="B135" s="381" t="s">
        <v>622</v>
      </c>
      <c r="C135" s="381" t="s">
        <v>573</v>
      </c>
      <c r="D135" s="381" t="s">
        <v>479</v>
      </c>
      <c r="E135" s="381" t="s">
        <v>580</v>
      </c>
      <c r="F135" s="381">
        <v>76</v>
      </c>
      <c r="G135" s="381"/>
      <c r="H135" s="381">
        <v>6.54E-2</v>
      </c>
      <c r="I135" s="381" t="s">
        <v>627</v>
      </c>
      <c r="J135" s="381"/>
      <c r="K135" s="381"/>
      <c r="L135" s="381"/>
      <c r="M135" s="381"/>
      <c r="N135" s="381"/>
      <c r="O135" s="381"/>
      <c r="P135" s="381">
        <v>2025</v>
      </c>
      <c r="Q135" s="374">
        <v>46022</v>
      </c>
      <c r="R135" s="296"/>
      <c r="S135" s="296"/>
      <c r="T135" s="296"/>
      <c r="U135" s="296"/>
      <c r="V135" s="296"/>
      <c r="W135" s="296"/>
      <c r="X135" s="296"/>
      <c r="Y135" s="296"/>
      <c r="Z135" s="296"/>
      <c r="AA135" s="296"/>
      <c r="AB135" s="296"/>
      <c r="AC135" s="296"/>
      <c r="AD135" s="296"/>
      <c r="AE135" s="296"/>
      <c r="AF135" s="296"/>
      <c r="AG135" s="296"/>
      <c r="AH135" s="296"/>
      <c r="AI135" s="296"/>
      <c r="AJ135" s="296"/>
      <c r="AK135" s="296"/>
      <c r="AL135" s="296"/>
      <c r="AM135" s="296"/>
      <c r="AN135" s="296"/>
      <c r="AO135" s="296"/>
    </row>
    <row r="136" spans="1:41" ht="141.75" x14ac:dyDescent="0.3">
      <c r="A136" s="383" t="s">
        <v>601</v>
      </c>
      <c r="B136" s="381" t="s">
        <v>623</v>
      </c>
      <c r="C136" s="381" t="s">
        <v>573</v>
      </c>
      <c r="D136" s="381" t="s">
        <v>479</v>
      </c>
      <c r="E136" s="381" t="s">
        <v>580</v>
      </c>
      <c r="F136" s="381">
        <v>133</v>
      </c>
      <c r="G136" s="381"/>
      <c r="H136" s="381">
        <v>4.1999999999999997E-3</v>
      </c>
      <c r="I136" s="381" t="s">
        <v>497</v>
      </c>
      <c r="J136" s="381"/>
      <c r="K136" s="381"/>
      <c r="L136" s="381"/>
      <c r="M136" s="381"/>
      <c r="N136" s="381"/>
      <c r="O136" s="381"/>
      <c r="P136" s="381">
        <v>2025</v>
      </c>
      <c r="Q136" s="374">
        <v>46022</v>
      </c>
      <c r="R136" s="296"/>
      <c r="S136" s="296"/>
      <c r="T136" s="296"/>
      <c r="U136" s="296"/>
      <c r="V136" s="296"/>
      <c r="W136" s="296"/>
      <c r="X136" s="296"/>
      <c r="Y136" s="296"/>
      <c r="Z136" s="296"/>
      <c r="AA136" s="296"/>
      <c r="AB136" s="296"/>
      <c r="AC136" s="296"/>
      <c r="AD136" s="296"/>
      <c r="AE136" s="296"/>
      <c r="AF136" s="296"/>
      <c r="AG136" s="296"/>
      <c r="AH136" s="296"/>
      <c r="AI136" s="296"/>
      <c r="AJ136" s="296"/>
      <c r="AK136" s="296"/>
      <c r="AL136" s="296"/>
      <c r="AM136" s="296"/>
      <c r="AN136" s="296"/>
      <c r="AO136" s="296"/>
    </row>
    <row r="137" spans="1:41" ht="121.5" x14ac:dyDescent="0.3">
      <c r="A137" s="383" t="s">
        <v>602</v>
      </c>
      <c r="B137" s="381" t="s">
        <v>624</v>
      </c>
      <c r="C137" s="381" t="s">
        <v>573</v>
      </c>
      <c r="D137" s="381" t="s">
        <v>479</v>
      </c>
      <c r="E137" s="381" t="s">
        <v>580</v>
      </c>
      <c r="F137" s="381">
        <v>76</v>
      </c>
      <c r="G137" s="381"/>
      <c r="H137" s="381">
        <v>0.06</v>
      </c>
      <c r="I137" s="381" t="s">
        <v>627</v>
      </c>
      <c r="J137" s="381"/>
      <c r="K137" s="381"/>
      <c r="L137" s="381"/>
      <c r="M137" s="381"/>
      <c r="N137" s="381"/>
      <c r="O137" s="381"/>
      <c r="P137" s="381">
        <v>2025</v>
      </c>
      <c r="Q137" s="374">
        <v>46022</v>
      </c>
      <c r="R137" s="296"/>
      <c r="S137" s="296"/>
      <c r="T137" s="296"/>
      <c r="U137" s="296"/>
      <c r="V137" s="296"/>
      <c r="W137" s="296"/>
      <c r="X137" s="296"/>
      <c r="Y137" s="296"/>
      <c r="Z137" s="296"/>
      <c r="AA137" s="296"/>
      <c r="AB137" s="296"/>
      <c r="AC137" s="296"/>
      <c r="AD137" s="296"/>
      <c r="AE137" s="296"/>
      <c r="AF137" s="296"/>
      <c r="AG137" s="296"/>
      <c r="AH137" s="296"/>
      <c r="AI137" s="296"/>
      <c r="AJ137" s="296"/>
      <c r="AK137" s="296"/>
      <c r="AL137" s="296"/>
      <c r="AM137" s="296"/>
      <c r="AN137" s="296"/>
      <c r="AO137" s="296"/>
    </row>
    <row r="138" spans="1:41" ht="121.5" x14ac:dyDescent="0.3">
      <c r="A138" s="383" t="s">
        <v>603</v>
      </c>
      <c r="B138" s="381" t="s">
        <v>625</v>
      </c>
      <c r="C138" s="381" t="s">
        <v>573</v>
      </c>
      <c r="D138" s="381" t="s">
        <v>479</v>
      </c>
      <c r="E138" s="381" t="s">
        <v>580</v>
      </c>
      <c r="F138" s="381">
        <v>40</v>
      </c>
      <c r="G138" s="381"/>
      <c r="H138" s="381">
        <v>0.51939999999999997</v>
      </c>
      <c r="I138" s="381" t="s">
        <v>497</v>
      </c>
      <c r="J138" s="381"/>
      <c r="K138" s="381"/>
      <c r="L138" s="381"/>
      <c r="M138" s="381"/>
      <c r="N138" s="381"/>
      <c r="O138" s="381"/>
      <c r="P138" s="381">
        <v>2025</v>
      </c>
      <c r="Q138" s="374">
        <v>46022</v>
      </c>
      <c r="R138" s="296"/>
      <c r="S138" s="296"/>
      <c r="T138" s="296"/>
      <c r="U138" s="296"/>
      <c r="V138" s="296"/>
      <c r="W138" s="296"/>
      <c r="X138" s="296"/>
      <c r="Y138" s="296"/>
      <c r="Z138" s="296"/>
      <c r="AA138" s="296"/>
      <c r="AB138" s="296"/>
      <c r="AC138" s="296"/>
      <c r="AD138" s="296"/>
      <c r="AE138" s="296"/>
      <c r="AF138" s="296"/>
      <c r="AG138" s="296"/>
      <c r="AH138" s="296"/>
      <c r="AI138" s="296"/>
      <c r="AJ138" s="296"/>
      <c r="AK138" s="296"/>
      <c r="AL138" s="296"/>
      <c r="AM138" s="296"/>
      <c r="AN138" s="296"/>
      <c r="AO138" s="296"/>
    </row>
    <row r="139" spans="1:41" s="291" customFormat="1" ht="26.25" customHeight="1" x14ac:dyDescent="0.3">
      <c r="A139" s="411" t="s">
        <v>141</v>
      </c>
      <c r="B139" s="412"/>
      <c r="C139" s="412"/>
      <c r="D139" s="412"/>
      <c r="E139" s="412"/>
      <c r="F139" s="412"/>
      <c r="G139" s="412"/>
      <c r="H139" s="412"/>
      <c r="I139" s="412"/>
      <c r="J139" s="412"/>
      <c r="K139" s="412"/>
      <c r="L139" s="412"/>
      <c r="M139" s="412"/>
      <c r="N139" s="412"/>
      <c r="O139" s="412"/>
      <c r="P139" s="412"/>
      <c r="Q139" s="412"/>
      <c r="R139" s="379"/>
      <c r="S139" s="379"/>
      <c r="T139" s="379"/>
      <c r="U139" s="379"/>
      <c r="V139" s="379"/>
      <c r="W139" s="379"/>
      <c r="X139" s="379"/>
      <c r="Y139" s="379"/>
      <c r="Z139" s="379"/>
      <c r="AA139" s="379"/>
      <c r="AB139" s="379"/>
      <c r="AC139" s="379"/>
      <c r="AD139" s="379"/>
      <c r="AE139" s="379"/>
      <c r="AF139" s="379"/>
      <c r="AG139" s="379"/>
      <c r="AH139" s="379"/>
      <c r="AI139" s="379"/>
      <c r="AJ139" s="379"/>
      <c r="AK139" s="379"/>
      <c r="AL139" s="379"/>
      <c r="AM139" s="379"/>
      <c r="AN139" s="379"/>
      <c r="AO139" s="380"/>
    </row>
    <row r="140" spans="1:41" x14ac:dyDescent="0.3">
      <c r="A140" s="383" t="s">
        <v>142</v>
      </c>
      <c r="B140" s="381"/>
      <c r="C140" s="381"/>
      <c r="D140" s="381"/>
      <c r="E140" s="381"/>
      <c r="F140" s="295"/>
      <c r="G140" s="295"/>
      <c r="H140" s="295"/>
      <c r="I140" s="295"/>
      <c r="J140" s="295"/>
      <c r="K140" s="295"/>
      <c r="L140" s="295"/>
      <c r="M140" s="295"/>
      <c r="N140" s="295"/>
      <c r="O140" s="295"/>
      <c r="P140" s="295"/>
      <c r="Q140" s="295"/>
      <c r="R140" s="296"/>
      <c r="S140" s="296"/>
      <c r="T140" s="296"/>
      <c r="U140" s="296"/>
      <c r="V140" s="296"/>
      <c r="W140" s="296"/>
      <c r="X140" s="296"/>
      <c r="Y140" s="296"/>
      <c r="Z140" s="296"/>
      <c r="AA140" s="296"/>
      <c r="AB140" s="296"/>
      <c r="AC140" s="296"/>
      <c r="AD140" s="296"/>
      <c r="AE140" s="296"/>
      <c r="AF140" s="296"/>
      <c r="AG140" s="296"/>
      <c r="AH140" s="296"/>
      <c r="AI140" s="296"/>
      <c r="AJ140" s="296"/>
      <c r="AK140" s="296"/>
      <c r="AL140" s="296"/>
      <c r="AM140" s="296"/>
      <c r="AN140" s="296"/>
      <c r="AO140" s="296"/>
    </row>
    <row r="141" spans="1:41" x14ac:dyDescent="0.3">
      <c r="A141" s="383" t="s">
        <v>143</v>
      </c>
      <c r="B141" s="381"/>
      <c r="C141" s="381"/>
      <c r="D141" s="381"/>
      <c r="E141" s="381"/>
      <c r="F141" s="295"/>
      <c r="G141" s="295"/>
      <c r="H141" s="295"/>
      <c r="I141" s="295"/>
      <c r="J141" s="295"/>
      <c r="K141" s="295"/>
      <c r="L141" s="295"/>
      <c r="M141" s="295"/>
      <c r="N141" s="295"/>
      <c r="O141" s="295"/>
      <c r="P141" s="295"/>
      <c r="Q141" s="295"/>
      <c r="R141" s="296"/>
      <c r="S141" s="296"/>
      <c r="T141" s="296"/>
      <c r="U141" s="296"/>
      <c r="V141" s="296"/>
      <c r="W141" s="296"/>
      <c r="X141" s="296"/>
      <c r="Y141" s="296"/>
      <c r="Z141" s="296"/>
      <c r="AA141" s="296"/>
      <c r="AB141" s="296"/>
      <c r="AC141" s="296"/>
      <c r="AD141" s="296"/>
      <c r="AE141" s="296"/>
      <c r="AF141" s="296"/>
      <c r="AG141" s="296"/>
      <c r="AH141" s="296"/>
      <c r="AI141" s="296"/>
      <c r="AJ141" s="296"/>
      <c r="AK141" s="296"/>
      <c r="AL141" s="296"/>
      <c r="AM141" s="296"/>
      <c r="AN141" s="296"/>
      <c r="AO141" s="296"/>
    </row>
    <row r="142" spans="1:41" ht="24" customHeight="1" x14ac:dyDescent="0.3">
      <c r="A142" s="411" t="s">
        <v>144</v>
      </c>
      <c r="B142" s="412"/>
      <c r="C142" s="412"/>
      <c r="D142" s="413"/>
      <c r="E142" s="381"/>
      <c r="F142" s="295"/>
      <c r="G142" s="295"/>
      <c r="H142" s="295"/>
      <c r="I142" s="295"/>
      <c r="J142" s="295"/>
      <c r="K142" s="295"/>
      <c r="L142" s="295"/>
      <c r="M142" s="295"/>
      <c r="N142" s="295"/>
      <c r="O142" s="295"/>
      <c r="P142" s="295"/>
      <c r="Q142" s="295"/>
      <c r="R142" s="296"/>
      <c r="S142" s="296"/>
      <c r="T142" s="296"/>
      <c r="U142" s="296"/>
      <c r="V142" s="296"/>
      <c r="W142" s="296"/>
      <c r="X142" s="296"/>
      <c r="Y142" s="296"/>
      <c r="Z142" s="296"/>
      <c r="AA142" s="296"/>
      <c r="AB142" s="296"/>
      <c r="AC142" s="296"/>
      <c r="AD142" s="296"/>
      <c r="AE142" s="296"/>
      <c r="AF142" s="296"/>
      <c r="AG142" s="296"/>
      <c r="AH142" s="296"/>
      <c r="AI142" s="296"/>
      <c r="AJ142" s="296"/>
      <c r="AK142" s="296"/>
      <c r="AL142" s="296"/>
      <c r="AM142" s="296"/>
      <c r="AN142" s="296"/>
      <c r="AO142" s="296"/>
    </row>
    <row r="143" spans="1:41" ht="45" customHeight="1" x14ac:dyDescent="0.3">
      <c r="A143" s="411" t="s">
        <v>145</v>
      </c>
      <c r="B143" s="412"/>
      <c r="C143" s="412"/>
      <c r="D143" s="412"/>
      <c r="E143" s="412"/>
      <c r="F143" s="412"/>
      <c r="G143" s="412"/>
      <c r="H143" s="412"/>
      <c r="I143" s="412"/>
      <c r="J143" s="412"/>
      <c r="K143" s="412"/>
      <c r="L143" s="412"/>
      <c r="M143" s="412"/>
      <c r="N143" s="412"/>
      <c r="O143" s="412"/>
      <c r="P143" s="412"/>
      <c r="Q143" s="412"/>
      <c r="R143" s="412"/>
      <c r="S143" s="412"/>
      <c r="T143" s="412"/>
      <c r="U143" s="412"/>
      <c r="V143" s="412"/>
      <c r="W143" s="412"/>
      <c r="X143" s="412"/>
      <c r="Y143" s="412"/>
      <c r="Z143" s="413"/>
      <c r="AA143" s="381"/>
      <c r="AB143" s="381"/>
      <c r="AC143" s="381"/>
      <c r="AD143" s="381"/>
      <c r="AE143" s="381"/>
      <c r="AF143" s="381"/>
      <c r="AG143" s="381"/>
      <c r="AH143" s="381"/>
      <c r="AI143" s="381"/>
      <c r="AJ143" s="381"/>
      <c r="AK143" s="381"/>
      <c r="AL143" s="381"/>
      <c r="AM143" s="381"/>
      <c r="AN143" s="381"/>
      <c r="AO143" s="381"/>
    </row>
    <row r="144" spans="1:41" x14ac:dyDescent="0.3">
      <c r="A144" s="383" t="s">
        <v>146</v>
      </c>
      <c r="B144" s="381"/>
      <c r="C144" s="381"/>
      <c r="D144" s="381"/>
      <c r="E144" s="381"/>
      <c r="F144" s="295"/>
      <c r="G144" s="295"/>
      <c r="H144" s="295"/>
      <c r="I144" s="295"/>
      <c r="J144" s="295"/>
      <c r="K144" s="295"/>
      <c r="L144" s="295"/>
      <c r="M144" s="295"/>
      <c r="N144" s="295"/>
      <c r="O144" s="295"/>
      <c r="P144" s="295"/>
      <c r="Q144" s="295"/>
      <c r="R144" s="296"/>
      <c r="S144" s="296"/>
      <c r="T144" s="296"/>
      <c r="U144" s="296"/>
      <c r="V144" s="296"/>
      <c r="W144" s="296"/>
      <c r="X144" s="296"/>
      <c r="Y144" s="296"/>
      <c r="Z144" s="296"/>
      <c r="AA144" s="296"/>
      <c r="AB144" s="296"/>
      <c r="AC144" s="296"/>
      <c r="AD144" s="296"/>
      <c r="AE144" s="296"/>
      <c r="AF144" s="296"/>
      <c r="AG144" s="296"/>
      <c r="AH144" s="296"/>
      <c r="AI144" s="296"/>
      <c r="AJ144" s="296"/>
      <c r="AK144" s="296"/>
      <c r="AL144" s="296"/>
      <c r="AM144" s="296"/>
      <c r="AN144" s="296"/>
      <c r="AO144" s="296"/>
    </row>
    <row r="145" spans="1:41" x14ac:dyDescent="0.3">
      <c r="A145" s="383" t="s">
        <v>147</v>
      </c>
      <c r="B145" s="381"/>
      <c r="C145" s="381"/>
      <c r="D145" s="381"/>
      <c r="E145" s="381"/>
      <c r="F145" s="295"/>
      <c r="G145" s="295"/>
      <c r="H145" s="295"/>
      <c r="I145" s="295"/>
      <c r="J145" s="295"/>
      <c r="K145" s="295"/>
      <c r="L145" s="295"/>
      <c r="M145" s="295"/>
      <c r="N145" s="295"/>
      <c r="O145" s="295"/>
      <c r="P145" s="295"/>
      <c r="Q145" s="295"/>
      <c r="R145" s="296"/>
      <c r="S145" s="296"/>
      <c r="T145" s="296"/>
      <c r="U145" s="296"/>
      <c r="V145" s="296"/>
      <c r="W145" s="296"/>
      <c r="X145" s="296"/>
      <c r="Y145" s="296"/>
      <c r="Z145" s="296"/>
      <c r="AA145" s="296"/>
      <c r="AB145" s="296"/>
      <c r="AC145" s="296"/>
      <c r="AD145" s="296"/>
      <c r="AE145" s="296"/>
      <c r="AF145" s="296"/>
      <c r="AG145" s="296"/>
      <c r="AH145" s="296"/>
      <c r="AI145" s="296"/>
      <c r="AJ145" s="296"/>
      <c r="AK145" s="296"/>
      <c r="AL145" s="296"/>
      <c r="AM145" s="296"/>
      <c r="AN145" s="296"/>
      <c r="AO145" s="296"/>
    </row>
    <row r="146" spans="1:41" ht="27.75" customHeight="1" x14ac:dyDescent="0.3">
      <c r="A146" s="411" t="s">
        <v>148</v>
      </c>
      <c r="B146" s="412"/>
      <c r="C146" s="412"/>
      <c r="D146" s="412"/>
      <c r="E146" s="412"/>
      <c r="F146" s="412"/>
      <c r="G146" s="412"/>
      <c r="H146" s="412"/>
      <c r="I146" s="412"/>
      <c r="J146" s="412"/>
      <c r="K146" s="412"/>
      <c r="L146" s="412"/>
      <c r="M146" s="412"/>
      <c r="N146" s="412"/>
      <c r="O146" s="413"/>
      <c r="P146" s="295"/>
      <c r="Q146" s="295"/>
      <c r="R146" s="296"/>
      <c r="S146" s="296"/>
      <c r="T146" s="296"/>
      <c r="U146" s="296"/>
      <c r="V146" s="296"/>
      <c r="W146" s="296"/>
      <c r="X146" s="296"/>
      <c r="Y146" s="296"/>
      <c r="Z146" s="296"/>
      <c r="AA146" s="296"/>
      <c r="AB146" s="296"/>
      <c r="AC146" s="296"/>
      <c r="AD146" s="296"/>
      <c r="AE146" s="296"/>
      <c r="AF146" s="296"/>
      <c r="AG146" s="296"/>
      <c r="AH146" s="296"/>
      <c r="AI146" s="296"/>
      <c r="AJ146" s="296"/>
      <c r="AK146" s="296"/>
      <c r="AL146" s="296"/>
      <c r="AM146" s="296"/>
      <c r="AN146" s="296"/>
      <c r="AO146" s="296"/>
    </row>
    <row r="147" spans="1:41" ht="24.75" customHeight="1" x14ac:dyDescent="0.3">
      <c r="A147" s="417" t="s">
        <v>149</v>
      </c>
      <c r="B147" s="418"/>
      <c r="C147" s="418"/>
      <c r="D147" s="419"/>
      <c r="E147" s="377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9">
        <f>R61+R108</f>
        <v>95995.746333333329</v>
      </c>
      <c r="S147" s="299">
        <f t="shared" ref="S147:AO147" si="9">S61+S108</f>
        <v>6577.9940000000015</v>
      </c>
      <c r="T147" s="299">
        <f t="shared" si="9"/>
        <v>89417.752333333337</v>
      </c>
      <c r="U147" s="299">
        <f t="shared" si="9"/>
        <v>0</v>
      </c>
      <c r="V147" s="299">
        <f t="shared" si="9"/>
        <v>0</v>
      </c>
      <c r="W147" s="299">
        <f t="shared" si="9"/>
        <v>0</v>
      </c>
      <c r="X147" s="299">
        <f t="shared" si="9"/>
        <v>74671.902999999991</v>
      </c>
      <c r="Y147" s="299">
        <f t="shared" si="9"/>
        <v>11913.603999999999</v>
      </c>
      <c r="Z147" s="299">
        <f t="shared" si="9"/>
        <v>9410.239333333333</v>
      </c>
      <c r="AA147" s="299">
        <f t="shared" si="9"/>
        <v>0</v>
      </c>
      <c r="AB147" s="299">
        <f t="shared" si="9"/>
        <v>0</v>
      </c>
      <c r="AC147" s="299">
        <f t="shared" si="9"/>
        <v>0</v>
      </c>
      <c r="AD147" s="299">
        <f t="shared" si="9"/>
        <v>0</v>
      </c>
      <c r="AE147" s="299">
        <f t="shared" si="9"/>
        <v>0</v>
      </c>
      <c r="AF147" s="299">
        <f t="shared" si="9"/>
        <v>0</v>
      </c>
      <c r="AG147" s="299">
        <f t="shared" si="9"/>
        <v>0</v>
      </c>
      <c r="AH147" s="299">
        <f t="shared" si="9"/>
        <v>0</v>
      </c>
      <c r="AI147" s="299">
        <f t="shared" si="9"/>
        <v>0</v>
      </c>
      <c r="AJ147" s="299">
        <f t="shared" si="9"/>
        <v>0</v>
      </c>
      <c r="AK147" s="299">
        <f t="shared" si="9"/>
        <v>0</v>
      </c>
      <c r="AL147" s="299">
        <f t="shared" si="9"/>
        <v>0</v>
      </c>
      <c r="AM147" s="299">
        <f t="shared" si="9"/>
        <v>70995.746333333344</v>
      </c>
      <c r="AN147" s="299">
        <f t="shared" si="9"/>
        <v>25000</v>
      </c>
      <c r="AO147" s="299">
        <f t="shared" si="9"/>
        <v>0</v>
      </c>
    </row>
    <row r="150" spans="1:41" x14ac:dyDescent="0.3">
      <c r="X150" s="393"/>
    </row>
  </sheetData>
  <mergeCells count="64">
    <mergeCell ref="AE5:AO5"/>
    <mergeCell ref="AE6:AO6"/>
    <mergeCell ref="AE7:AO7"/>
    <mergeCell ref="AE8:AO8"/>
    <mergeCell ref="A16:E16"/>
    <mergeCell ref="A17:E17"/>
    <mergeCell ref="A20:Q20"/>
    <mergeCell ref="A5:O5"/>
    <mergeCell ref="A6:O6"/>
    <mergeCell ref="A7:O7"/>
    <mergeCell ref="A8:O8"/>
    <mergeCell ref="AN11:AN14"/>
    <mergeCell ref="F12:J12"/>
    <mergeCell ref="K12:O12"/>
    <mergeCell ref="F13:I13"/>
    <mergeCell ref="J13:J14"/>
    <mergeCell ref="K13:N13"/>
    <mergeCell ref="O13:O14"/>
    <mergeCell ref="P10:P14"/>
    <mergeCell ref="Q10:Q14"/>
    <mergeCell ref="AO11:AO14"/>
    <mergeCell ref="AE10:AO10"/>
    <mergeCell ref="AE11:AE14"/>
    <mergeCell ref="R13:R14"/>
    <mergeCell ref="AF11:AF14"/>
    <mergeCell ref="AG11:AG14"/>
    <mergeCell ref="AH11:AH14"/>
    <mergeCell ref="S13:T13"/>
    <mergeCell ref="AI13:AI14"/>
    <mergeCell ref="AJ13:AJ14"/>
    <mergeCell ref="AM11:AM14"/>
    <mergeCell ref="AL11:AL14"/>
    <mergeCell ref="R10:AD10"/>
    <mergeCell ref="AK11:AK14"/>
    <mergeCell ref="AI11:AJ12"/>
    <mergeCell ref="AD11:AD14"/>
    <mergeCell ref="A146:O146"/>
    <mergeCell ref="A147:D147"/>
    <mergeCell ref="A143:Z143"/>
    <mergeCell ref="A113:Q113"/>
    <mergeCell ref="A114:S114"/>
    <mergeCell ref="A139:Q139"/>
    <mergeCell ref="A142:D142"/>
    <mergeCell ref="A106:N106"/>
    <mergeCell ref="A108:D108"/>
    <mergeCell ref="A109:S109"/>
    <mergeCell ref="A112:D112"/>
    <mergeCell ref="A23:E23"/>
    <mergeCell ref="A63:Q63"/>
    <mergeCell ref="A29:B29"/>
    <mergeCell ref="A62:S62"/>
    <mergeCell ref="A30:L30"/>
    <mergeCell ref="A26:M26"/>
    <mergeCell ref="A61:C61"/>
    <mergeCell ref="A10:A14"/>
    <mergeCell ref="B10:B14"/>
    <mergeCell ref="C10:C14"/>
    <mergeCell ref="D10:D14"/>
    <mergeCell ref="E10:E14"/>
    <mergeCell ref="F10:O10"/>
    <mergeCell ref="F11:O11"/>
    <mergeCell ref="R11:T12"/>
    <mergeCell ref="U11:U14"/>
    <mergeCell ref="V11:AC13"/>
  </mergeCells>
  <phoneticPr fontId="80" type="noConversion"/>
  <pageMargins left="0.19685039370078741" right="0.11811023622047245" top="0.15748031496062992" bottom="0.15748031496062992" header="0" footer="0"/>
  <pageSetup paperSize="9" scale="50" fitToWidth="2" fitToHeight="10" orientation="landscape" verticalDpi="0" r:id="rId1"/>
  <colBreaks count="1" manualBreakCount="1">
    <brk id="3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45"/>
  <sheetViews>
    <sheetView view="pageBreakPreview" zoomScale="85" zoomScaleNormal="100" zoomScaleSheetLayoutView="85" workbookViewId="0">
      <selection activeCell="L1" sqref="L1"/>
    </sheetView>
  </sheetViews>
  <sheetFormatPr defaultColWidth="0.85546875" defaultRowHeight="12.75" customHeight="1" x14ac:dyDescent="0.2"/>
  <cols>
    <col min="1" max="1" width="6" style="4" customWidth="1"/>
    <col min="2" max="2" width="49.28515625" style="307" customWidth="1"/>
    <col min="3" max="3" width="16.140625" style="4" customWidth="1"/>
    <col min="4" max="4" width="10.7109375" style="4" customWidth="1"/>
    <col min="5" max="5" width="9.85546875" style="4" customWidth="1"/>
    <col min="6" max="12" width="10.140625" style="4" customWidth="1"/>
    <col min="13" max="239" width="8.28515625" style="4" customWidth="1"/>
    <col min="240" max="16384" width="0.85546875" style="4"/>
  </cols>
  <sheetData>
    <row r="1" spans="1:39" ht="12.75" customHeight="1" x14ac:dyDescent="0.2">
      <c r="L1" s="300" t="s">
        <v>913</v>
      </c>
    </row>
    <row r="2" spans="1:39" ht="12.75" customHeight="1" x14ac:dyDescent="0.2">
      <c r="L2" s="300" t="str">
        <f>'№1 ИП-ТС'!B2</f>
        <v>и тарифов Ивановской области от 13.12.2024 № 50/9</v>
      </c>
    </row>
    <row r="3" spans="1:39" ht="12.75" customHeight="1" x14ac:dyDescent="0.2">
      <c r="L3" s="301" t="s">
        <v>902</v>
      </c>
    </row>
    <row r="4" spans="1:39" s="6" customFormat="1" x14ac:dyDescent="0.2">
      <c r="B4" s="285"/>
      <c r="L4" s="7"/>
    </row>
    <row r="6" spans="1:39" s="6" customFormat="1" x14ac:dyDescent="0.2">
      <c r="A6" s="424" t="s">
        <v>161</v>
      </c>
      <c r="B6" s="424"/>
      <c r="C6" s="424"/>
      <c r="D6" s="424"/>
      <c r="E6" s="424"/>
      <c r="F6" s="424"/>
      <c r="G6" s="424"/>
      <c r="H6" s="424"/>
      <c r="I6" s="424"/>
      <c r="J6" s="424"/>
      <c r="K6" s="424"/>
      <c r="L6" s="424"/>
    </row>
    <row r="7" spans="1:39" s="6" customFormat="1" x14ac:dyDescent="0.2">
      <c r="A7" s="425" t="s">
        <v>803</v>
      </c>
      <c r="B7" s="425"/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</row>
    <row r="8" spans="1:39" x14ac:dyDescent="0.2">
      <c r="A8" s="426" t="s">
        <v>162</v>
      </c>
      <c r="B8" s="426"/>
      <c r="C8" s="426"/>
      <c r="D8" s="426"/>
      <c r="E8" s="426"/>
      <c r="F8" s="426"/>
      <c r="G8" s="426"/>
      <c r="H8" s="426"/>
      <c r="I8" s="426"/>
      <c r="J8" s="426"/>
      <c r="K8" s="426"/>
      <c r="L8" s="426"/>
    </row>
    <row r="9" spans="1:39" x14ac:dyDescent="0.2">
      <c r="A9" s="9"/>
      <c r="B9" s="308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39" ht="15" x14ac:dyDescent="0.2">
      <c r="A10" s="427" t="s">
        <v>53</v>
      </c>
      <c r="B10" s="427" t="s">
        <v>27</v>
      </c>
      <c r="C10" s="427" t="s">
        <v>28</v>
      </c>
      <c r="D10" s="427" t="s">
        <v>163</v>
      </c>
      <c r="E10" s="427" t="s">
        <v>164</v>
      </c>
      <c r="F10" s="428" t="s">
        <v>165</v>
      </c>
      <c r="G10" s="429"/>
      <c r="H10" s="429"/>
      <c r="I10" s="429"/>
      <c r="J10" s="429"/>
      <c r="K10" s="429"/>
      <c r="L10" s="430"/>
    </row>
    <row r="11" spans="1:39" ht="15" x14ac:dyDescent="0.2">
      <c r="A11" s="427"/>
      <c r="B11" s="427"/>
      <c r="C11" s="427"/>
      <c r="D11" s="427"/>
      <c r="E11" s="427"/>
      <c r="F11" s="428" t="s">
        <v>166</v>
      </c>
      <c r="G11" s="429"/>
      <c r="H11" s="429"/>
      <c r="I11" s="429"/>
      <c r="J11" s="429"/>
      <c r="K11" s="429"/>
      <c r="L11" s="430"/>
    </row>
    <row r="12" spans="1:39" x14ac:dyDescent="0.2">
      <c r="A12" s="427"/>
      <c r="B12" s="427"/>
      <c r="C12" s="427"/>
      <c r="D12" s="427"/>
      <c r="E12" s="427"/>
      <c r="F12" s="274">
        <v>2024</v>
      </c>
      <c r="G12" s="274">
        <f t="shared" ref="G12:I13" si="0">F12+1</f>
        <v>2025</v>
      </c>
      <c r="H12" s="274">
        <f t="shared" si="0"/>
        <v>2026</v>
      </c>
      <c r="I12" s="274">
        <f t="shared" si="0"/>
        <v>2027</v>
      </c>
      <c r="J12" s="274">
        <f t="shared" ref="J12:J13" si="1">I12+1</f>
        <v>2028</v>
      </c>
      <c r="K12" s="274">
        <f t="shared" ref="K12:K13" si="2">J12+1</f>
        <v>2029</v>
      </c>
      <c r="L12" s="274" t="s">
        <v>628</v>
      </c>
      <c r="P12" s="4">
        <v>1</v>
      </c>
    </row>
    <row r="13" spans="1:39" x14ac:dyDescent="0.2">
      <c r="A13" s="274">
        <v>1</v>
      </c>
      <c r="B13" s="274">
        <v>2</v>
      </c>
      <c r="C13" s="274">
        <v>3</v>
      </c>
      <c r="D13" s="274">
        <v>4</v>
      </c>
      <c r="E13" s="274">
        <v>5</v>
      </c>
      <c r="F13" s="274">
        <f>E13+1</f>
        <v>6</v>
      </c>
      <c r="G13" s="274">
        <f t="shared" si="0"/>
        <v>7</v>
      </c>
      <c r="H13" s="274">
        <f t="shared" si="0"/>
        <v>8</v>
      </c>
      <c r="I13" s="274">
        <f t="shared" si="0"/>
        <v>9</v>
      </c>
      <c r="J13" s="274">
        <f t="shared" si="1"/>
        <v>10</v>
      </c>
      <c r="K13" s="274">
        <f t="shared" si="2"/>
        <v>11</v>
      </c>
      <c r="L13" s="274">
        <f t="shared" ref="L13" si="3">K13+1</f>
        <v>12</v>
      </c>
    </row>
    <row r="14" spans="1:39" ht="25.5" x14ac:dyDescent="0.2">
      <c r="A14" s="274">
        <v>1</v>
      </c>
      <c r="B14" s="274" t="s">
        <v>167</v>
      </c>
      <c r="C14" s="274" t="s">
        <v>168</v>
      </c>
      <c r="D14" s="11" t="s">
        <v>4</v>
      </c>
      <c r="E14" s="11" t="s">
        <v>4</v>
      </c>
      <c r="F14" s="11" t="s">
        <v>4</v>
      </c>
      <c r="G14" s="11" t="s">
        <v>4</v>
      </c>
      <c r="H14" s="10" t="s">
        <v>4</v>
      </c>
      <c r="I14" s="10" t="s">
        <v>4</v>
      </c>
      <c r="J14" s="10" t="s">
        <v>4</v>
      </c>
      <c r="K14" s="10" t="s">
        <v>4</v>
      </c>
      <c r="L14" s="10" t="s">
        <v>4</v>
      </c>
    </row>
    <row r="15" spans="1:39" x14ac:dyDescent="0.2">
      <c r="A15" s="427">
        <v>2</v>
      </c>
      <c r="B15" s="427" t="s">
        <v>169</v>
      </c>
      <c r="C15" s="274" t="s">
        <v>170</v>
      </c>
      <c r="D15" s="10" t="s">
        <v>4</v>
      </c>
      <c r="E15" s="10" t="s">
        <v>4</v>
      </c>
      <c r="F15" s="302"/>
      <c r="G15" s="302"/>
      <c r="H15" s="302"/>
      <c r="I15" s="302"/>
      <c r="J15" s="302"/>
      <c r="K15" s="302"/>
      <c r="L15" s="302"/>
    </row>
    <row r="16" spans="1:39" x14ac:dyDescent="0.2">
      <c r="A16" s="427"/>
      <c r="B16" s="427"/>
      <c r="C16" s="274" t="s">
        <v>171</v>
      </c>
      <c r="D16" s="10" t="s">
        <v>4</v>
      </c>
      <c r="E16" s="10" t="s">
        <v>4</v>
      </c>
      <c r="F16" s="11"/>
      <c r="G16" s="11"/>
      <c r="H16" s="11"/>
      <c r="I16" s="11"/>
      <c r="J16" s="11"/>
      <c r="K16" s="11"/>
      <c r="L16" s="11"/>
    </row>
    <row r="17" spans="1:12" x14ac:dyDescent="0.2">
      <c r="A17" s="5" t="s">
        <v>26</v>
      </c>
      <c r="B17" s="5" t="str">
        <f>'№ 4 ИП ТС'!B16</f>
        <v>Котельная №1 п. Верхний Ландех</v>
      </c>
      <c r="C17" s="274" t="s">
        <v>170</v>
      </c>
      <c r="D17" s="10" t="s">
        <v>4</v>
      </c>
      <c r="E17" s="10" t="s">
        <v>4</v>
      </c>
      <c r="F17" s="303">
        <f>'№ 4 ИП ТС'!AB16/1000</f>
        <v>0.21490000000000001</v>
      </c>
      <c r="G17" s="303">
        <f>'№ 4 ИП ТС'!AC16/1000</f>
        <v>0.21490000000000001</v>
      </c>
      <c r="H17" s="11" t="str">
        <f>'№ 4 ИП ТС'!AD16</f>
        <v>-</v>
      </c>
      <c r="I17" s="11" t="str">
        <f>'№ 4 ИП ТС'!AE16</f>
        <v>-</v>
      </c>
      <c r="J17" s="11" t="str">
        <f>'№ 4 ИП ТС'!AF16</f>
        <v>-</v>
      </c>
      <c r="K17" s="11" t="str">
        <f>'№ 4 ИП ТС'!AG16</f>
        <v>-</v>
      </c>
      <c r="L17" s="11" t="str">
        <f>'№ 4 ИП ТС'!AH16</f>
        <v>-</v>
      </c>
    </row>
    <row r="18" spans="1:12" x14ac:dyDescent="0.2">
      <c r="A18" s="5" t="s">
        <v>126</v>
      </c>
      <c r="B18" s="5" t="str">
        <f>'№ 4 ИП ТС'!B17</f>
        <v>БМК №1 п. Верхний Ландех</v>
      </c>
      <c r="C18" s="274" t="s">
        <v>170</v>
      </c>
      <c r="D18" s="10" t="s">
        <v>4</v>
      </c>
      <c r="E18" s="10" t="s">
        <v>4</v>
      </c>
      <c r="F18" s="11" t="str">
        <f>'№ 4 ИП ТС'!AB17</f>
        <v>-</v>
      </c>
      <c r="G18" s="303">
        <f>'№ 4 ИП ТС'!AC17/1000</f>
        <v>0.15890000000000001</v>
      </c>
      <c r="H18" s="303">
        <f>'№ 4 ИП ТС'!AD17/1000</f>
        <v>0.15890000000000001</v>
      </c>
      <c r="I18" s="303">
        <f>'№ 4 ИП ТС'!AE17/1000</f>
        <v>0.15890000000000001</v>
      </c>
      <c r="J18" s="303">
        <f>'№ 4 ИП ТС'!AF17/1000</f>
        <v>0.15890000000000001</v>
      </c>
      <c r="K18" s="303">
        <f>'№ 4 ИП ТС'!AG17/1000</f>
        <v>0.15890000000000001</v>
      </c>
      <c r="L18" s="303">
        <f>'№ 4 ИП ТС'!AH17/1000</f>
        <v>0.15890000000000001</v>
      </c>
    </row>
    <row r="19" spans="1:12" x14ac:dyDescent="0.2">
      <c r="A19" s="5" t="s">
        <v>435</v>
      </c>
      <c r="B19" s="5" t="str">
        <f>'№ 4 ИП ТС'!B18</f>
        <v>Котельная №2 п. Верхний Ландех</v>
      </c>
      <c r="C19" s="274" t="s">
        <v>170</v>
      </c>
      <c r="D19" s="10" t="s">
        <v>4</v>
      </c>
      <c r="E19" s="10" t="s">
        <v>4</v>
      </c>
      <c r="F19" s="303">
        <f>'№ 4 ИП ТС'!AB18/1000</f>
        <v>0.21919999999999998</v>
      </c>
      <c r="G19" s="303">
        <f>'№ 4 ИП ТС'!AC18/1000</f>
        <v>0.21919999999999998</v>
      </c>
      <c r="H19" s="11" t="str">
        <f>'№ 4 ИП ТС'!AD18</f>
        <v>-</v>
      </c>
      <c r="I19" s="11" t="str">
        <f>'№ 4 ИП ТС'!AE18</f>
        <v>-</v>
      </c>
      <c r="J19" s="11" t="str">
        <f>'№ 4 ИП ТС'!AF18</f>
        <v>-</v>
      </c>
      <c r="K19" s="11" t="str">
        <f>'№ 4 ИП ТС'!AG18</f>
        <v>-</v>
      </c>
      <c r="L19" s="11" t="str">
        <f>'№ 4 ИП ТС'!AH18</f>
        <v>-</v>
      </c>
    </row>
    <row r="20" spans="1:12" x14ac:dyDescent="0.2">
      <c r="A20" s="5" t="s">
        <v>436</v>
      </c>
      <c r="B20" s="5" t="str">
        <f>'№ 4 ИП ТС'!B19</f>
        <v>БМК №2 п. Верхний Ландех</v>
      </c>
      <c r="C20" s="274" t="s">
        <v>170</v>
      </c>
      <c r="D20" s="10" t="s">
        <v>4</v>
      </c>
      <c r="E20" s="10" t="s">
        <v>4</v>
      </c>
      <c r="F20" s="11" t="str">
        <f>'№ 4 ИП ТС'!AB19</f>
        <v>-</v>
      </c>
      <c r="G20" s="303">
        <f>'№ 4 ИП ТС'!AC19/1000</f>
        <v>0.15840000000000001</v>
      </c>
      <c r="H20" s="303">
        <f>'№ 4 ИП ТС'!AD19/1000</f>
        <v>0.15840000000000001</v>
      </c>
      <c r="I20" s="303">
        <f>'№ 4 ИП ТС'!AE19/1000</f>
        <v>0.1585</v>
      </c>
      <c r="J20" s="303">
        <f>'№ 4 ИП ТС'!AF19/1000</f>
        <v>0.1585</v>
      </c>
      <c r="K20" s="303">
        <f>'№ 4 ИП ТС'!AG19/1000</f>
        <v>0.1585</v>
      </c>
      <c r="L20" s="303">
        <f>'№ 4 ИП ТС'!AH19/1000</f>
        <v>0.1585</v>
      </c>
    </row>
    <row r="21" spans="1:12" x14ac:dyDescent="0.2">
      <c r="A21" s="5" t="s">
        <v>437</v>
      </c>
      <c r="B21" s="5" t="str">
        <f>'№ 4 ИП ТС'!B20</f>
        <v>Котельная №3 п. Верхний Ландех</v>
      </c>
      <c r="C21" s="274" t="s">
        <v>170</v>
      </c>
      <c r="D21" s="10" t="s">
        <v>4</v>
      </c>
      <c r="E21" s="10" t="s">
        <v>4</v>
      </c>
      <c r="F21" s="303">
        <f>'№ 4 ИП ТС'!AB20/1000</f>
        <v>0.21919999999999998</v>
      </c>
      <c r="G21" s="303">
        <f>'№ 4 ИП ТС'!AC20/1000</f>
        <v>0.21919999999999998</v>
      </c>
      <c r="H21" s="11" t="str">
        <f>'№ 4 ИП ТС'!AD20</f>
        <v>-</v>
      </c>
      <c r="I21" s="11" t="str">
        <f>'№ 4 ИП ТС'!AE20</f>
        <v>-</v>
      </c>
      <c r="J21" s="11" t="str">
        <f>'№ 4 ИП ТС'!AF20</f>
        <v>-</v>
      </c>
      <c r="K21" s="11" t="str">
        <f>'№ 4 ИП ТС'!AG20</f>
        <v>-</v>
      </c>
      <c r="L21" s="11" t="str">
        <f>'№ 4 ИП ТС'!AH20</f>
        <v>-</v>
      </c>
    </row>
    <row r="22" spans="1:12" x14ac:dyDescent="0.2">
      <c r="A22" s="5" t="s">
        <v>438</v>
      </c>
      <c r="B22" s="5" t="str">
        <f>'№ 4 ИП ТС'!B21</f>
        <v>БМК №3 п. Верхний Ландех</v>
      </c>
      <c r="C22" s="274" t="s">
        <v>170</v>
      </c>
      <c r="D22" s="10" t="s">
        <v>4</v>
      </c>
      <c r="E22" s="10" t="s">
        <v>4</v>
      </c>
      <c r="F22" s="11" t="str">
        <f>'№ 4 ИП ТС'!AB21</f>
        <v>-</v>
      </c>
      <c r="G22" s="303">
        <f>'№ 4 ИП ТС'!AC21/1000</f>
        <v>0.15890000000000001</v>
      </c>
      <c r="H22" s="303">
        <f>'№ 4 ИП ТС'!AD21/1000</f>
        <v>0.15890000000000001</v>
      </c>
      <c r="I22" s="303">
        <f>'№ 4 ИП ТС'!AE21/1000</f>
        <v>0.15890000000000001</v>
      </c>
      <c r="J22" s="303">
        <f>'№ 4 ИП ТС'!AF21/1000</f>
        <v>0.15890000000000001</v>
      </c>
      <c r="K22" s="303">
        <f>'№ 4 ИП ТС'!AG21/1000</f>
        <v>0.15890000000000001</v>
      </c>
      <c r="L22" s="303">
        <f>'№ 4 ИП ТС'!AH21/1000</f>
        <v>0.15890000000000001</v>
      </c>
    </row>
    <row r="23" spans="1:12" x14ac:dyDescent="0.2">
      <c r="A23" s="5" t="s">
        <v>439</v>
      </c>
      <c r="B23" s="5" t="str">
        <f>'№ 4 ИП ТС'!B22</f>
        <v>Котельная №4 п. Верхний Ландех</v>
      </c>
      <c r="C23" s="274" t="s">
        <v>170</v>
      </c>
      <c r="D23" s="10" t="s">
        <v>4</v>
      </c>
      <c r="E23" s="10" t="s">
        <v>4</v>
      </c>
      <c r="F23" s="303">
        <f>'№ 4 ИП ТС'!AB22/1000</f>
        <v>0.22030000000000002</v>
      </c>
      <c r="G23" s="303">
        <f>'№ 4 ИП ТС'!AC22/1000</f>
        <v>0.22030000000000002</v>
      </c>
      <c r="H23" s="11" t="str">
        <f>'№ 4 ИП ТС'!AD22</f>
        <v>-</v>
      </c>
      <c r="I23" s="11" t="str">
        <f>'№ 4 ИП ТС'!AE22</f>
        <v>-</v>
      </c>
      <c r="J23" s="11" t="str">
        <f>'№ 4 ИП ТС'!AF22</f>
        <v>-</v>
      </c>
      <c r="K23" s="11" t="str">
        <f>'№ 4 ИП ТС'!AG22</f>
        <v>-</v>
      </c>
      <c r="L23" s="11" t="str">
        <f>'№ 4 ИП ТС'!AH22</f>
        <v>-</v>
      </c>
    </row>
    <row r="24" spans="1:12" x14ac:dyDescent="0.2">
      <c r="A24" s="5" t="s">
        <v>440</v>
      </c>
      <c r="B24" s="5" t="str">
        <f>'№ 4 ИП ТС'!B23</f>
        <v>БМК №4 п. Верхний Ландех</v>
      </c>
      <c r="C24" s="274" t="s">
        <v>170</v>
      </c>
      <c r="D24" s="10" t="s">
        <v>4</v>
      </c>
      <c r="E24" s="10" t="s">
        <v>4</v>
      </c>
      <c r="F24" s="11" t="str">
        <f>'№ 4 ИП ТС'!AB23</f>
        <v>-</v>
      </c>
      <c r="G24" s="303">
        <f>'№ 4 ИП ТС'!AC23/1000</f>
        <v>0.15909999999999999</v>
      </c>
      <c r="H24" s="303">
        <f>'№ 4 ИП ТС'!AD23/1000</f>
        <v>0.15909999999999999</v>
      </c>
      <c r="I24" s="303">
        <f>'№ 4 ИП ТС'!AE23/1000</f>
        <v>0.15909999999999999</v>
      </c>
      <c r="J24" s="303">
        <f>'№ 4 ИП ТС'!AF23/1000</f>
        <v>0.15909999999999999</v>
      </c>
      <c r="K24" s="303">
        <f>'№ 4 ИП ТС'!AG23/1000</f>
        <v>0.15909999999999999</v>
      </c>
      <c r="L24" s="303">
        <f>'№ 4 ИП ТС'!AH23/1000</f>
        <v>0.15909999999999999</v>
      </c>
    </row>
    <row r="25" spans="1:12" ht="25.5" x14ac:dyDescent="0.2">
      <c r="A25" s="274">
        <v>3</v>
      </c>
      <c r="B25" s="274" t="s">
        <v>172</v>
      </c>
      <c r="C25" s="274" t="s">
        <v>173</v>
      </c>
      <c r="D25" s="10" t="s">
        <v>4</v>
      </c>
      <c r="E25" s="10" t="s">
        <v>4</v>
      </c>
      <c r="F25" s="10" t="s">
        <v>4</v>
      </c>
      <c r="G25" s="10" t="s">
        <v>4</v>
      </c>
      <c r="H25" s="10" t="s">
        <v>4</v>
      </c>
      <c r="I25" s="10" t="s">
        <v>4</v>
      </c>
      <c r="J25" s="10" t="s">
        <v>4</v>
      </c>
      <c r="K25" s="10" t="s">
        <v>4</v>
      </c>
      <c r="L25" s="10" t="s">
        <v>4</v>
      </c>
    </row>
    <row r="26" spans="1:12" ht="38.25" x14ac:dyDescent="0.2">
      <c r="A26" s="274">
        <v>4</v>
      </c>
      <c r="B26" s="274" t="s">
        <v>174</v>
      </c>
      <c r="C26" s="274" t="s">
        <v>13</v>
      </c>
      <c r="D26" s="10" t="s">
        <v>4</v>
      </c>
      <c r="E26" s="10" t="s">
        <v>4</v>
      </c>
      <c r="F26" s="10" t="s">
        <v>4</v>
      </c>
      <c r="G26" s="10" t="s">
        <v>4</v>
      </c>
      <c r="H26" s="10" t="s">
        <v>4</v>
      </c>
      <c r="I26" s="10" t="s">
        <v>4</v>
      </c>
      <c r="J26" s="10" t="s">
        <v>4</v>
      </c>
      <c r="K26" s="10" t="s">
        <v>4</v>
      </c>
      <c r="L26" s="12" t="s">
        <v>4</v>
      </c>
    </row>
    <row r="27" spans="1:12" x14ac:dyDescent="0.2">
      <c r="A27" s="427">
        <v>5</v>
      </c>
      <c r="B27" s="427" t="s">
        <v>807</v>
      </c>
      <c r="C27" s="274" t="s">
        <v>175</v>
      </c>
      <c r="D27" s="10" t="s">
        <v>4</v>
      </c>
      <c r="E27" s="10" t="s">
        <v>4</v>
      </c>
      <c r="F27" s="304">
        <f t="shared" ref="F27:L27" si="4">SUM(F29:F32)</f>
        <v>1257.2999999999997</v>
      </c>
      <c r="G27" s="302">
        <f t="shared" si="4"/>
        <v>1257.2999999999997</v>
      </c>
      <c r="H27" s="302">
        <f t="shared" si="4"/>
        <v>940.7</v>
      </c>
      <c r="I27" s="302">
        <f t="shared" si="4"/>
        <v>810.59999999999991</v>
      </c>
      <c r="J27" s="302">
        <f t="shared" si="4"/>
        <v>750.9</v>
      </c>
      <c r="K27" s="302">
        <f t="shared" si="4"/>
        <v>750.9</v>
      </c>
      <c r="L27" s="302">
        <f t="shared" si="4"/>
        <v>750.9</v>
      </c>
    </row>
    <row r="28" spans="1:12" ht="38.25" x14ac:dyDescent="0.2">
      <c r="A28" s="427"/>
      <c r="B28" s="427"/>
      <c r="C28" s="274" t="s">
        <v>176</v>
      </c>
      <c r="D28" s="10" t="s">
        <v>4</v>
      </c>
      <c r="E28" s="10" t="s">
        <v>4</v>
      </c>
      <c r="F28" s="305">
        <f>Лист3!E48</f>
        <v>15.347338354308313</v>
      </c>
      <c r="G28" s="305">
        <f>Лист3!F48</f>
        <v>15.347338354308313</v>
      </c>
      <c r="H28" s="305">
        <f>Лист3!G48</f>
        <v>11.944335106720674</v>
      </c>
      <c r="I28" s="305">
        <f>Лист3!H48</f>
        <v>10.46529642635819</v>
      </c>
      <c r="J28" s="305">
        <f>Лист3!I48</f>
        <v>9.7698382752833126</v>
      </c>
      <c r="K28" s="305">
        <f>Лист3!J48</f>
        <v>9.7698382752833126</v>
      </c>
      <c r="L28" s="305">
        <f>Лист3!K48</f>
        <v>0</v>
      </c>
    </row>
    <row r="29" spans="1:12" x14ac:dyDescent="0.2">
      <c r="A29" s="5" t="s">
        <v>8</v>
      </c>
      <c r="B29" s="306" t="str">
        <f>'№ 4 ИП ТС'!B24</f>
        <v>Теплотрасса котельной №1 п. Верхний Ландех</v>
      </c>
      <c r="C29" s="274" t="s">
        <v>175</v>
      </c>
      <c r="D29" s="10" t="s">
        <v>4</v>
      </c>
      <c r="E29" s="10" t="s">
        <v>4</v>
      </c>
      <c r="F29" s="304">
        <f>'№ 4 ИП ТС'!BL24</f>
        <v>624.29999999999995</v>
      </c>
      <c r="G29" s="304">
        <f>'№ 4 ИП ТС'!BM24</f>
        <v>624.29999999999995</v>
      </c>
      <c r="H29" s="304">
        <f>'№ 4 ИП ТС'!BN24</f>
        <v>535.20000000000005</v>
      </c>
      <c r="I29" s="304">
        <f>'№ 4 ИП ТС'!BO24</f>
        <v>417.2</v>
      </c>
      <c r="J29" s="304">
        <f>'№ 4 ИП ТС'!BP24</f>
        <v>417.2</v>
      </c>
      <c r="K29" s="304">
        <f>'№ 4 ИП ТС'!BQ24</f>
        <v>417.2</v>
      </c>
      <c r="L29" s="304">
        <f>'№ 4 ИП ТС'!BR24</f>
        <v>417.2</v>
      </c>
    </row>
    <row r="30" spans="1:12" x14ac:dyDescent="0.2">
      <c r="A30" s="5" t="s">
        <v>9</v>
      </c>
      <c r="B30" s="306" t="str">
        <f>'№ 4 ИП ТС'!B25</f>
        <v>Теплотрасса котельной №2 п. Верхний Ландех</v>
      </c>
      <c r="C30" s="274" t="s">
        <v>175</v>
      </c>
      <c r="D30" s="10" t="s">
        <v>4</v>
      </c>
      <c r="E30" s="10" t="s">
        <v>4</v>
      </c>
      <c r="F30" s="304">
        <f>'№ 4 ИП ТС'!BL25</f>
        <v>117.9</v>
      </c>
      <c r="G30" s="304">
        <f>'№ 4 ИП ТС'!BM25</f>
        <v>117.9</v>
      </c>
      <c r="H30" s="304">
        <f>'№ 4 ИП ТС'!BN25</f>
        <v>47</v>
      </c>
      <c r="I30" s="304">
        <f>'№ 4 ИП ТС'!BO25</f>
        <v>34.9</v>
      </c>
      <c r="J30" s="304">
        <f>'№ 4 ИП ТС'!BP25</f>
        <v>34.9</v>
      </c>
      <c r="K30" s="304">
        <f>'№ 4 ИП ТС'!BQ25</f>
        <v>34.9</v>
      </c>
      <c r="L30" s="304">
        <f>'№ 4 ИП ТС'!BR25</f>
        <v>34.9</v>
      </c>
    </row>
    <row r="31" spans="1:12" x14ac:dyDescent="0.2">
      <c r="A31" s="5" t="s">
        <v>10</v>
      </c>
      <c r="B31" s="306" t="str">
        <f>'№ 4 ИП ТС'!B26</f>
        <v>Теплотрасса котельной №3 п. Верхний Ландех</v>
      </c>
      <c r="C31" s="274" t="s">
        <v>175</v>
      </c>
      <c r="D31" s="10" t="s">
        <v>4</v>
      </c>
      <c r="E31" s="10" t="s">
        <v>4</v>
      </c>
      <c r="F31" s="304">
        <f>'№ 4 ИП ТС'!BL26</f>
        <v>421.5</v>
      </c>
      <c r="G31" s="304">
        <f>'№ 4 ИП ТС'!BM26</f>
        <v>421.5</v>
      </c>
      <c r="H31" s="304">
        <f>'№ 4 ИП ТС'!BN26</f>
        <v>337.2</v>
      </c>
      <c r="I31" s="304">
        <f>'№ 4 ИП ТС'!BO26</f>
        <v>337.2</v>
      </c>
      <c r="J31" s="304">
        <f>'№ 4 ИП ТС'!BP26</f>
        <v>280.3</v>
      </c>
      <c r="K31" s="304">
        <f>'№ 4 ИП ТС'!BQ26</f>
        <v>280.3</v>
      </c>
      <c r="L31" s="304">
        <f>'№ 4 ИП ТС'!BR26</f>
        <v>280.3</v>
      </c>
    </row>
    <row r="32" spans="1:12" x14ac:dyDescent="0.2">
      <c r="A32" s="5" t="s">
        <v>11</v>
      </c>
      <c r="B32" s="306" t="str">
        <f>'№ 4 ИП ТС'!B27</f>
        <v>Теплотрасса котельной №4 п. Верхний Ландех</v>
      </c>
      <c r="C32" s="274" t="s">
        <v>175</v>
      </c>
      <c r="D32" s="10" t="s">
        <v>4</v>
      </c>
      <c r="E32" s="10" t="s">
        <v>4</v>
      </c>
      <c r="F32" s="304">
        <f>'№ 4 ИП ТС'!BL27</f>
        <v>93.6</v>
      </c>
      <c r="G32" s="304">
        <f>'№ 4 ИП ТС'!BM27</f>
        <v>93.6</v>
      </c>
      <c r="H32" s="304">
        <f>'№ 4 ИП ТС'!BN27</f>
        <v>21.3</v>
      </c>
      <c r="I32" s="304">
        <f>'№ 4 ИП ТС'!BO27</f>
        <v>21.3</v>
      </c>
      <c r="J32" s="304">
        <f>'№ 4 ИП ТС'!BP27</f>
        <v>18.5</v>
      </c>
      <c r="K32" s="304">
        <f>'№ 4 ИП ТС'!BQ27</f>
        <v>18.5</v>
      </c>
      <c r="L32" s="304">
        <f>'№ 4 ИП ТС'!BR27</f>
        <v>18.5</v>
      </c>
    </row>
    <row r="33" spans="1:12" ht="25.5" x14ac:dyDescent="0.2">
      <c r="A33" s="427">
        <v>6</v>
      </c>
      <c r="B33" s="427" t="s">
        <v>808</v>
      </c>
      <c r="C33" s="274" t="s">
        <v>177</v>
      </c>
      <c r="D33" s="10" t="s">
        <v>4</v>
      </c>
      <c r="E33" s="10" t="s">
        <v>4</v>
      </c>
      <c r="F33" s="302">
        <f t="shared" ref="F33:L33" si="5">SUM(F35:F38)</f>
        <v>670.8</v>
      </c>
      <c r="G33" s="302">
        <f t="shared" si="5"/>
        <v>670.8</v>
      </c>
      <c r="H33" s="302">
        <f t="shared" si="5"/>
        <v>586.70000000000005</v>
      </c>
      <c r="I33" s="302">
        <f t="shared" si="5"/>
        <v>547.09999999999991</v>
      </c>
      <c r="J33" s="302">
        <f t="shared" si="5"/>
        <v>537.80000000000007</v>
      </c>
      <c r="K33" s="302">
        <f t="shared" si="5"/>
        <v>537.80000000000007</v>
      </c>
      <c r="L33" s="302">
        <f t="shared" si="5"/>
        <v>537.80000000000007</v>
      </c>
    </row>
    <row r="34" spans="1:12" x14ac:dyDescent="0.2">
      <c r="A34" s="427"/>
      <c r="B34" s="427"/>
      <c r="C34" s="274" t="s">
        <v>178</v>
      </c>
      <c r="D34" s="10" t="s">
        <v>4</v>
      </c>
      <c r="E34" s="10" t="s">
        <v>4</v>
      </c>
      <c r="F34" s="11" t="s">
        <v>4</v>
      </c>
      <c r="G34" s="11" t="s">
        <v>4</v>
      </c>
      <c r="H34" s="11" t="s">
        <v>4</v>
      </c>
      <c r="I34" s="11" t="s">
        <v>4</v>
      </c>
      <c r="J34" s="11" t="s">
        <v>4</v>
      </c>
      <c r="K34" s="11" t="s">
        <v>4</v>
      </c>
      <c r="L34" s="11" t="s">
        <v>4</v>
      </c>
    </row>
    <row r="35" spans="1:12" x14ac:dyDescent="0.2">
      <c r="A35" s="5" t="s">
        <v>8</v>
      </c>
      <c r="B35" s="306" t="str">
        <f>B29</f>
        <v>Теплотрасса котельной №1 п. Верхний Ландех</v>
      </c>
      <c r="C35" s="274" t="s">
        <v>294</v>
      </c>
      <c r="D35" s="10" t="s">
        <v>4</v>
      </c>
      <c r="E35" s="10" t="s">
        <v>4</v>
      </c>
      <c r="F35" s="304">
        <f>'№ 4 ИП ТС'!BX24</f>
        <v>355.6</v>
      </c>
      <c r="G35" s="304">
        <f>'№ 4 ИП ТС'!BY24</f>
        <v>355.6</v>
      </c>
      <c r="H35" s="304">
        <f>'№ 4 ИП ТС'!BZ24</f>
        <v>339.7</v>
      </c>
      <c r="I35" s="304">
        <f>'№ 4 ИП ТС'!CA24</f>
        <v>297.89999999999998</v>
      </c>
      <c r="J35" s="304">
        <f>'№ 4 ИП ТС'!CB24</f>
        <v>297.89999999999998</v>
      </c>
      <c r="K35" s="304">
        <f>'№ 4 ИП ТС'!CC24</f>
        <v>297.89999999999998</v>
      </c>
      <c r="L35" s="304">
        <f>'№ 4 ИП ТС'!CD24</f>
        <v>297.89999999999998</v>
      </c>
    </row>
    <row r="36" spans="1:12" x14ac:dyDescent="0.2">
      <c r="A36" s="5" t="s">
        <v>9</v>
      </c>
      <c r="B36" s="306" t="str">
        <f t="shared" ref="B36:B38" si="6">B30</f>
        <v>Теплотрасса котельной №2 п. Верхний Ландех</v>
      </c>
      <c r="C36" s="274" t="s">
        <v>294</v>
      </c>
      <c r="D36" s="10" t="s">
        <v>4</v>
      </c>
      <c r="E36" s="10" t="s">
        <v>4</v>
      </c>
      <c r="F36" s="304">
        <f>'№ 4 ИП ТС'!BX25</f>
        <v>47.9</v>
      </c>
      <c r="G36" s="304">
        <f>'№ 4 ИП ТС'!BY25</f>
        <v>47.9</v>
      </c>
      <c r="H36" s="304">
        <f>'№ 4 ИП ТС'!BZ25</f>
        <v>29.3</v>
      </c>
      <c r="I36" s="304">
        <f>'№ 4 ИП ТС'!CA25</f>
        <v>31.5</v>
      </c>
      <c r="J36" s="304">
        <f>'№ 4 ИП ТС'!CB25</f>
        <v>31.5</v>
      </c>
      <c r="K36" s="304">
        <f>'№ 4 ИП ТС'!CC25</f>
        <v>31.5</v>
      </c>
      <c r="L36" s="304">
        <f>'№ 4 ИП ТС'!CD25</f>
        <v>31.5</v>
      </c>
    </row>
    <row r="37" spans="1:12" x14ac:dyDescent="0.2">
      <c r="A37" s="5" t="s">
        <v>10</v>
      </c>
      <c r="B37" s="306" t="str">
        <f t="shared" si="6"/>
        <v>Теплотрасса котельной №3 п. Верхний Ландех</v>
      </c>
      <c r="C37" s="274" t="s">
        <v>294</v>
      </c>
      <c r="D37" s="10" t="s">
        <v>4</v>
      </c>
      <c r="E37" s="10" t="s">
        <v>4</v>
      </c>
      <c r="F37" s="304">
        <f>'№ 4 ИП ТС'!BX26</f>
        <v>242.3</v>
      </c>
      <c r="G37" s="304">
        <f>'№ 4 ИП ТС'!BY26</f>
        <v>242.3</v>
      </c>
      <c r="H37" s="304">
        <f>'№ 4 ИП ТС'!BZ26</f>
        <v>199.7</v>
      </c>
      <c r="I37" s="304">
        <f>'№ 4 ИП ТС'!CA26</f>
        <v>199.7</v>
      </c>
      <c r="J37" s="304">
        <f>'№ 4 ИП ТС'!CB26</f>
        <v>196.8</v>
      </c>
      <c r="K37" s="304">
        <f>'№ 4 ИП ТС'!CC26</f>
        <v>196.8</v>
      </c>
      <c r="L37" s="304">
        <f>'№ 4 ИП ТС'!CD26</f>
        <v>196.8</v>
      </c>
    </row>
    <row r="38" spans="1:12" x14ac:dyDescent="0.2">
      <c r="A38" s="5" t="s">
        <v>11</v>
      </c>
      <c r="B38" s="306" t="str">
        <f t="shared" si="6"/>
        <v>Теплотрасса котельной №4 п. Верхний Ландех</v>
      </c>
      <c r="C38" s="274" t="s">
        <v>294</v>
      </c>
      <c r="D38" s="10" t="s">
        <v>4</v>
      </c>
      <c r="E38" s="10" t="s">
        <v>4</v>
      </c>
      <c r="F38" s="304">
        <f>'№ 4 ИП ТС'!BX27</f>
        <v>25</v>
      </c>
      <c r="G38" s="304">
        <f>'№ 4 ИП ТС'!BY27</f>
        <v>25</v>
      </c>
      <c r="H38" s="304">
        <f>'№ 4 ИП ТС'!BZ27</f>
        <v>18</v>
      </c>
      <c r="I38" s="304">
        <f>'№ 4 ИП ТС'!CA27</f>
        <v>18</v>
      </c>
      <c r="J38" s="304">
        <f>'№ 4 ИП ТС'!CB27</f>
        <v>11.6</v>
      </c>
      <c r="K38" s="304">
        <f>'№ 4 ИП ТС'!CC27</f>
        <v>11.6</v>
      </c>
      <c r="L38" s="304">
        <f>'№ 4 ИП ТС'!CD27</f>
        <v>11.6</v>
      </c>
    </row>
    <row r="39" spans="1:12" ht="66.75" customHeight="1" x14ac:dyDescent="0.2">
      <c r="A39" s="275">
        <v>7</v>
      </c>
      <c r="B39" s="275" t="s">
        <v>273</v>
      </c>
      <c r="C39" s="275" t="s">
        <v>280</v>
      </c>
      <c r="D39" s="10" t="s">
        <v>4</v>
      </c>
      <c r="E39" s="10" t="s">
        <v>4</v>
      </c>
      <c r="F39" s="11" t="s">
        <v>4</v>
      </c>
      <c r="G39" s="10" t="s">
        <v>4</v>
      </c>
      <c r="H39" s="10" t="s">
        <v>4</v>
      </c>
      <c r="I39" s="10" t="s">
        <v>4</v>
      </c>
      <c r="J39" s="10" t="s">
        <v>4</v>
      </c>
      <c r="K39" s="10" t="s">
        <v>4</v>
      </c>
      <c r="L39" s="10" t="s">
        <v>4</v>
      </c>
    </row>
    <row r="40" spans="1:12" x14ac:dyDescent="0.2">
      <c r="A40" s="275" t="s">
        <v>274</v>
      </c>
      <c r="B40" s="144" t="s">
        <v>275</v>
      </c>
      <c r="C40" s="144" t="s">
        <v>13</v>
      </c>
      <c r="D40" s="10" t="s">
        <v>4</v>
      </c>
      <c r="E40" s="10" t="s">
        <v>4</v>
      </c>
      <c r="F40" s="10" t="s">
        <v>4</v>
      </c>
      <c r="G40" s="10" t="s">
        <v>4</v>
      </c>
      <c r="H40" s="10" t="s">
        <v>4</v>
      </c>
      <c r="I40" s="10" t="s">
        <v>4</v>
      </c>
      <c r="J40" s="10" t="s">
        <v>4</v>
      </c>
      <c r="K40" s="10" t="s">
        <v>4</v>
      </c>
      <c r="L40" s="10" t="s">
        <v>4</v>
      </c>
    </row>
    <row r="41" spans="1:12" ht="12.75" customHeight="1" x14ac:dyDescent="0.2">
      <c r="A41" s="275" t="s">
        <v>276</v>
      </c>
      <c r="B41" s="144" t="s">
        <v>279</v>
      </c>
      <c r="C41" s="144" t="s">
        <v>13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10" t="s">
        <v>4</v>
      </c>
    </row>
    <row r="42" spans="1:12" ht="12.75" customHeight="1" x14ac:dyDescent="0.2">
      <c r="A42" s="275" t="s">
        <v>277</v>
      </c>
      <c r="B42" s="144" t="s">
        <v>278</v>
      </c>
      <c r="C42" s="144" t="s">
        <v>13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10" t="s">
        <v>4</v>
      </c>
    </row>
    <row r="44" spans="1:12" s="1" customFormat="1" ht="15.75" x14ac:dyDescent="0.25">
      <c r="A44" s="407"/>
      <c r="B44" s="407"/>
      <c r="C44" s="431"/>
      <c r="D44" s="431"/>
      <c r="E44" s="431"/>
      <c r="F44" s="431"/>
    </row>
    <row r="45" spans="1:12" s="1" customFormat="1" ht="15.75" customHeight="1" x14ac:dyDescent="0.25">
      <c r="B45" s="309"/>
    </row>
  </sheetData>
  <mergeCells count="17">
    <mergeCell ref="A44:F44"/>
    <mergeCell ref="A15:A16"/>
    <mergeCell ref="B15:B16"/>
    <mergeCell ref="A27:A28"/>
    <mergeCell ref="B27:B28"/>
    <mergeCell ref="A33:A34"/>
    <mergeCell ref="B33:B34"/>
    <mergeCell ref="A6:L6"/>
    <mergeCell ref="A7:L7"/>
    <mergeCell ref="A8:L8"/>
    <mergeCell ref="A10:A12"/>
    <mergeCell ref="B10:B12"/>
    <mergeCell ref="C10:C12"/>
    <mergeCell ref="D10:D12"/>
    <mergeCell ref="E10:E12"/>
    <mergeCell ref="F10:L10"/>
    <mergeCell ref="F11:L1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7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J31"/>
  <sheetViews>
    <sheetView view="pageBreakPreview" topLeftCell="BB1" zoomScale="60" zoomScaleNormal="100" workbookViewId="0">
      <selection activeCell="CH2" sqref="CH2"/>
    </sheetView>
  </sheetViews>
  <sheetFormatPr defaultColWidth="9.140625" defaultRowHeight="20.25" x14ac:dyDescent="0.3"/>
  <cols>
    <col min="1" max="1" width="8.42578125" style="316" customWidth="1"/>
    <col min="2" max="2" width="31.5703125" style="398" customWidth="1"/>
    <col min="3" max="3" width="9.5703125" style="398" customWidth="1"/>
    <col min="4" max="9" width="3.7109375" style="398" customWidth="1"/>
    <col min="10" max="14" width="5.140625" style="398" customWidth="1"/>
    <col min="15" max="15" width="9.28515625" style="398" customWidth="1"/>
    <col min="16" max="26" width="5.85546875" style="398" customWidth="1"/>
    <col min="27" max="27" width="11.42578125" style="398" customWidth="1"/>
    <col min="28" max="28" width="6.85546875" style="398" customWidth="1"/>
    <col min="29" max="38" width="5.5703125" style="398" customWidth="1"/>
    <col min="39" max="39" width="12.140625" style="398" customWidth="1"/>
    <col min="40" max="49" width="6.140625" style="316" customWidth="1"/>
    <col min="50" max="50" width="7.5703125" style="316" customWidth="1"/>
    <col min="51" max="51" width="12.7109375" style="316" customWidth="1"/>
    <col min="52" max="52" width="6.140625" style="316" customWidth="1"/>
    <col min="53" max="61" width="8.28515625" style="316" customWidth="1"/>
    <col min="62" max="62" width="8.5703125" style="316" customWidth="1"/>
    <col min="63" max="63" width="11.85546875" style="316" customWidth="1"/>
    <col min="64" max="73" width="7.28515625" style="316" customWidth="1"/>
    <col min="74" max="74" width="8" style="316" customWidth="1"/>
    <col min="75" max="75" width="13" style="316" customWidth="1"/>
    <col min="76" max="86" width="7.7109375" style="316" customWidth="1"/>
    <col min="87" max="16384" width="9.140625" style="316"/>
  </cols>
  <sheetData>
    <row r="1" spans="1:88" x14ac:dyDescent="0.3">
      <c r="A1" s="314"/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5"/>
      <c r="AM1" s="394"/>
      <c r="AN1" s="314"/>
      <c r="AO1" s="314"/>
      <c r="AP1" s="315" t="s">
        <v>914</v>
      </c>
      <c r="AR1" s="314"/>
      <c r="AS1" s="314"/>
      <c r="AT1" s="314"/>
      <c r="AU1" s="314"/>
      <c r="AV1" s="314"/>
      <c r="AW1" s="314"/>
      <c r="AX1" s="314"/>
      <c r="AY1" s="286"/>
      <c r="AZ1" s="286"/>
      <c r="BA1" s="286"/>
      <c r="BB1" s="286"/>
      <c r="BC1" s="286"/>
      <c r="BD1" s="286"/>
      <c r="BE1" s="286"/>
      <c r="BF1" s="286"/>
      <c r="BH1" s="314"/>
      <c r="BI1" s="314"/>
      <c r="BJ1" s="314"/>
      <c r="BK1" s="314"/>
      <c r="BL1" s="314"/>
      <c r="BM1" s="314"/>
      <c r="BN1" s="314"/>
      <c r="BO1" s="314"/>
      <c r="BP1" s="314"/>
      <c r="BQ1" s="314"/>
      <c r="BR1" s="314"/>
      <c r="BS1" s="314"/>
      <c r="BT1" s="314"/>
      <c r="BU1" s="314"/>
      <c r="BV1" s="314"/>
      <c r="BW1" s="314"/>
      <c r="BX1" s="315" t="str">
        <f>AP1</f>
        <v xml:space="preserve">Приложение 2/4 к протоколу заседания Правления Департамента энергетики </v>
      </c>
      <c r="CA1" s="314"/>
      <c r="CB1" s="314"/>
      <c r="CC1" s="314"/>
      <c r="CD1" s="314"/>
      <c r="CE1" s="314"/>
      <c r="CF1" s="314"/>
      <c r="CH1" s="315" t="s">
        <v>915</v>
      </c>
      <c r="CI1" s="288"/>
    </row>
    <row r="2" spans="1:88" x14ac:dyDescent="0.3">
      <c r="A2" s="314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4"/>
      <c r="AD2" s="394"/>
      <c r="AE2" s="394"/>
      <c r="AF2" s="394"/>
      <c r="AG2" s="394"/>
      <c r="AH2" s="394"/>
      <c r="AI2" s="394"/>
      <c r="AJ2" s="394"/>
      <c r="AK2" s="394"/>
      <c r="AL2" s="394"/>
      <c r="AM2" s="394"/>
      <c r="AN2" s="314"/>
      <c r="AO2" s="314"/>
      <c r="AP2" s="315" t="str">
        <f>'№3 ИП-ТС'!L2</f>
        <v>и тарифов Ивановской области от 13.12.2024 № 50/9</v>
      </c>
      <c r="AR2" s="314"/>
      <c r="AS2" s="314"/>
      <c r="AT2" s="314"/>
      <c r="AU2" s="314"/>
      <c r="AV2" s="314"/>
      <c r="AW2" s="314"/>
      <c r="AX2" s="314"/>
      <c r="AY2" s="286"/>
      <c r="AZ2" s="286"/>
      <c r="BA2" s="286"/>
      <c r="BB2" s="286"/>
      <c r="BC2" s="286"/>
      <c r="BD2" s="286"/>
      <c r="BE2" s="286"/>
      <c r="BF2" s="286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5" t="str">
        <f>AP2</f>
        <v>и тарифов Ивановской области от 13.12.2024 № 50/9</v>
      </c>
      <c r="CA2" s="314"/>
      <c r="CB2" s="314"/>
      <c r="CC2" s="314"/>
      <c r="CD2" s="314"/>
      <c r="CE2" s="314"/>
      <c r="CF2" s="314"/>
      <c r="CH2" s="385" t="s">
        <v>909</v>
      </c>
      <c r="CI2" s="288"/>
    </row>
    <row r="3" spans="1:88" x14ac:dyDescent="0.3">
      <c r="A3" s="314"/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  <c r="AM3" s="394"/>
      <c r="AN3" s="314"/>
      <c r="AO3" s="314"/>
      <c r="AP3" s="317" t="s">
        <v>903</v>
      </c>
      <c r="AR3" s="314"/>
      <c r="AS3" s="314"/>
      <c r="AT3" s="314"/>
      <c r="AU3" s="314"/>
      <c r="AV3" s="314"/>
      <c r="AW3" s="314"/>
      <c r="AX3" s="314"/>
      <c r="AY3" s="310"/>
      <c r="AZ3" s="310"/>
      <c r="BA3" s="310"/>
      <c r="BB3" s="310"/>
      <c r="BC3" s="310"/>
      <c r="BD3" s="310"/>
      <c r="BE3" s="310"/>
      <c r="BF3" s="310"/>
      <c r="BH3" s="314"/>
      <c r="BI3" s="314"/>
      <c r="BJ3" s="314"/>
      <c r="BK3" s="314"/>
      <c r="BL3" s="314"/>
      <c r="BM3" s="314"/>
      <c r="BN3" s="314"/>
      <c r="BO3" s="314"/>
      <c r="BP3" s="314"/>
      <c r="BQ3" s="314"/>
      <c r="BR3" s="314"/>
      <c r="BS3" s="314"/>
      <c r="BT3" s="314"/>
      <c r="BU3" s="314"/>
      <c r="BV3" s="314"/>
      <c r="BW3" s="314"/>
      <c r="BX3" s="317" t="s">
        <v>903</v>
      </c>
      <c r="CA3" s="314"/>
      <c r="CB3" s="314"/>
      <c r="CC3" s="314"/>
      <c r="CD3" s="314"/>
      <c r="CE3" s="314"/>
      <c r="CF3" s="314"/>
      <c r="CH3" s="315" t="str">
        <f>'№3 ИП-ТС'!L2</f>
        <v>и тарифов Ивановской области от 13.12.2024 № 50/9</v>
      </c>
      <c r="CI3" s="288"/>
    </row>
    <row r="4" spans="1:88" x14ac:dyDescent="0.3">
      <c r="A4" s="314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394"/>
      <c r="Y4" s="394"/>
      <c r="Z4" s="394"/>
      <c r="AA4" s="394"/>
      <c r="AB4" s="394"/>
      <c r="AC4" s="394"/>
      <c r="AD4" s="394"/>
      <c r="AE4" s="394"/>
      <c r="AF4" s="394"/>
      <c r="AG4" s="394"/>
      <c r="AH4" s="394"/>
      <c r="AI4" s="394"/>
      <c r="AJ4" s="394"/>
      <c r="AK4" s="394"/>
      <c r="AL4" s="394"/>
      <c r="AM4" s="394"/>
      <c r="AN4" s="314"/>
      <c r="AO4" s="314"/>
      <c r="AP4" s="314"/>
      <c r="AQ4" s="314"/>
      <c r="AR4" s="314"/>
      <c r="AS4" s="314"/>
      <c r="AT4" s="314"/>
      <c r="AU4" s="314"/>
      <c r="AV4" s="314"/>
      <c r="AW4" s="314"/>
      <c r="AX4" s="314"/>
      <c r="AY4" s="309"/>
      <c r="AZ4" s="309"/>
      <c r="BA4" s="309"/>
      <c r="BB4" s="309"/>
      <c r="BC4" s="309"/>
      <c r="BD4" s="286"/>
      <c r="BE4" s="286"/>
      <c r="BF4" s="311"/>
      <c r="BG4" s="309"/>
      <c r="BH4" s="314"/>
      <c r="BI4" s="314"/>
      <c r="BJ4" s="314"/>
      <c r="BK4" s="314"/>
      <c r="BL4" s="314"/>
      <c r="BM4" s="314"/>
      <c r="BN4" s="314"/>
      <c r="BO4" s="314"/>
      <c r="BP4" s="314"/>
      <c r="BQ4" s="314"/>
      <c r="BR4" s="314"/>
      <c r="BS4" s="314"/>
      <c r="BT4" s="314"/>
      <c r="BU4" s="314"/>
      <c r="BV4" s="314"/>
      <c r="BW4" s="314"/>
      <c r="BX4" s="314"/>
      <c r="BY4" s="314"/>
      <c r="BZ4" s="314"/>
      <c r="CA4" s="314"/>
      <c r="CB4" s="314"/>
      <c r="CC4" s="314"/>
      <c r="CD4" s="314"/>
      <c r="CE4" s="314"/>
      <c r="CF4" s="314"/>
      <c r="CG4" s="317"/>
      <c r="CH4" s="317" t="s">
        <v>903</v>
      </c>
      <c r="CI4" s="288"/>
    </row>
    <row r="5" spans="1:88" s="289" customFormat="1" ht="15.75" customHeight="1" x14ac:dyDescent="0.3">
      <c r="A5" s="442" t="s">
        <v>192</v>
      </c>
      <c r="B5" s="442"/>
      <c r="C5" s="442"/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42"/>
      <c r="O5" s="442"/>
      <c r="P5" s="442"/>
      <c r="Q5" s="442"/>
      <c r="R5" s="442"/>
      <c r="S5" s="442"/>
      <c r="T5" s="442"/>
      <c r="U5" s="442"/>
      <c r="V5" s="442"/>
      <c r="W5" s="442"/>
      <c r="X5" s="442"/>
      <c r="Y5" s="442"/>
      <c r="Z5" s="442"/>
      <c r="AA5" s="442"/>
      <c r="AB5" s="442"/>
      <c r="AC5" s="442"/>
      <c r="AD5" s="442"/>
      <c r="AE5" s="442"/>
      <c r="AF5" s="442"/>
      <c r="AG5" s="442"/>
      <c r="AH5" s="442"/>
      <c r="AI5" s="442"/>
      <c r="AJ5" s="442"/>
      <c r="AK5" s="442"/>
      <c r="AL5" s="442"/>
      <c r="AM5" s="442"/>
      <c r="AN5" s="442"/>
      <c r="AO5" s="442"/>
      <c r="AP5" s="442"/>
      <c r="AQ5" s="399"/>
      <c r="AR5" s="399"/>
      <c r="AS5" s="399"/>
      <c r="AT5" s="399"/>
      <c r="AU5" s="399"/>
      <c r="AV5" s="399"/>
      <c r="AW5" s="399"/>
      <c r="AX5" s="399"/>
      <c r="AY5" s="399"/>
      <c r="AZ5" s="399"/>
      <c r="BA5" s="399"/>
      <c r="BB5" s="399"/>
      <c r="BC5" s="399"/>
      <c r="BD5" s="399"/>
      <c r="BE5" s="399"/>
      <c r="BF5" s="399"/>
      <c r="BG5" s="399"/>
      <c r="BH5" s="399"/>
      <c r="BI5" s="399"/>
      <c r="BJ5" s="399"/>
      <c r="BK5" s="399"/>
      <c r="BL5" s="399"/>
      <c r="BM5" s="399"/>
      <c r="BN5" s="399"/>
      <c r="BO5" s="399"/>
      <c r="BP5" s="399"/>
      <c r="BQ5" s="399"/>
      <c r="BR5" s="399"/>
      <c r="BS5" s="399"/>
      <c r="BT5" s="399"/>
      <c r="BU5" s="399"/>
      <c r="BV5" s="399"/>
      <c r="BW5" s="399"/>
      <c r="BX5" s="399"/>
      <c r="BY5" s="399"/>
      <c r="BZ5" s="399"/>
      <c r="CA5" s="399"/>
      <c r="CB5" s="399"/>
      <c r="CC5" s="399"/>
      <c r="CD5" s="399"/>
      <c r="CE5" s="399"/>
      <c r="CF5" s="399"/>
      <c r="CG5" s="399"/>
      <c r="CH5" s="399"/>
      <c r="CI5" s="318"/>
      <c r="CJ5" s="318"/>
    </row>
    <row r="6" spans="1:88" s="289" customFormat="1" x14ac:dyDescent="0.3">
      <c r="A6" s="442" t="s">
        <v>803</v>
      </c>
      <c r="B6" s="442"/>
      <c r="C6" s="442"/>
      <c r="D6" s="442"/>
      <c r="E6" s="442"/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442"/>
      <c r="Q6" s="442"/>
      <c r="R6" s="442"/>
      <c r="S6" s="442"/>
      <c r="T6" s="442"/>
      <c r="U6" s="442"/>
      <c r="V6" s="442"/>
      <c r="W6" s="442"/>
      <c r="X6" s="442"/>
      <c r="Y6" s="442"/>
      <c r="Z6" s="442"/>
      <c r="AA6" s="442"/>
      <c r="AB6" s="442"/>
      <c r="AC6" s="442"/>
      <c r="AD6" s="442"/>
      <c r="AE6" s="442"/>
      <c r="AF6" s="442"/>
      <c r="AG6" s="442"/>
      <c r="AH6" s="442"/>
      <c r="AI6" s="442"/>
      <c r="AJ6" s="442"/>
      <c r="AK6" s="442"/>
      <c r="AL6" s="442"/>
      <c r="AM6" s="442"/>
      <c r="AN6" s="442"/>
      <c r="AO6" s="442"/>
      <c r="AP6" s="442"/>
      <c r="AQ6" s="400"/>
      <c r="AR6" s="400"/>
      <c r="AS6" s="400"/>
      <c r="AT6" s="400"/>
      <c r="AU6" s="400"/>
      <c r="AV6" s="400"/>
      <c r="AW6" s="400"/>
      <c r="AX6" s="400"/>
      <c r="AY6" s="400"/>
      <c r="AZ6" s="400"/>
      <c r="BA6" s="400"/>
      <c r="BB6" s="400"/>
      <c r="BC6" s="400"/>
      <c r="BD6" s="400"/>
      <c r="BE6" s="400"/>
      <c r="BF6" s="400"/>
      <c r="BG6" s="400"/>
      <c r="BH6" s="400"/>
      <c r="BI6" s="400"/>
      <c r="BJ6" s="400"/>
      <c r="BK6" s="400"/>
      <c r="BL6" s="400"/>
      <c r="BM6" s="400"/>
      <c r="BN6" s="400"/>
      <c r="BO6" s="400"/>
      <c r="BP6" s="400"/>
      <c r="BQ6" s="400"/>
      <c r="BR6" s="400"/>
      <c r="BS6" s="400"/>
      <c r="BT6" s="400"/>
      <c r="BU6" s="400"/>
      <c r="BV6" s="400"/>
      <c r="BW6" s="400"/>
      <c r="BX6" s="400"/>
      <c r="BY6" s="400"/>
      <c r="BZ6" s="400"/>
      <c r="CA6" s="400"/>
      <c r="CB6" s="400"/>
      <c r="CC6" s="400"/>
      <c r="CD6" s="400"/>
      <c r="CE6" s="400"/>
      <c r="CF6" s="400"/>
      <c r="CG6" s="400"/>
      <c r="CH6" s="400"/>
      <c r="CJ6" s="318"/>
    </row>
    <row r="7" spans="1:88" s="289" customFormat="1" x14ac:dyDescent="0.3">
      <c r="A7" s="442" t="s">
        <v>162</v>
      </c>
      <c r="B7" s="442"/>
      <c r="C7" s="442"/>
      <c r="D7" s="442"/>
      <c r="E7" s="442"/>
      <c r="F7" s="442"/>
      <c r="G7" s="442"/>
      <c r="H7" s="442"/>
      <c r="I7" s="442"/>
      <c r="J7" s="442"/>
      <c r="K7" s="442"/>
      <c r="L7" s="442"/>
      <c r="M7" s="442"/>
      <c r="N7" s="442"/>
      <c r="O7" s="442"/>
      <c r="P7" s="442"/>
      <c r="Q7" s="442"/>
      <c r="R7" s="442"/>
      <c r="S7" s="442"/>
      <c r="T7" s="442"/>
      <c r="U7" s="442"/>
      <c r="V7" s="442"/>
      <c r="W7" s="442"/>
      <c r="X7" s="442"/>
      <c r="Y7" s="442"/>
      <c r="Z7" s="442"/>
      <c r="AA7" s="442"/>
      <c r="AB7" s="442"/>
      <c r="AC7" s="442"/>
      <c r="AD7" s="442"/>
      <c r="AE7" s="442"/>
      <c r="AF7" s="442"/>
      <c r="AG7" s="442"/>
      <c r="AH7" s="442"/>
      <c r="AI7" s="442"/>
      <c r="AJ7" s="442"/>
      <c r="AK7" s="442"/>
      <c r="AL7" s="442"/>
      <c r="AM7" s="442"/>
      <c r="AN7" s="442"/>
      <c r="AO7" s="442"/>
      <c r="AP7" s="442"/>
      <c r="AQ7" s="401"/>
      <c r="AR7" s="401"/>
      <c r="AS7" s="401"/>
      <c r="AT7" s="401"/>
      <c r="AU7" s="401"/>
      <c r="AV7" s="401"/>
      <c r="AW7" s="401"/>
      <c r="AX7" s="401"/>
      <c r="AY7" s="401"/>
      <c r="AZ7" s="401"/>
      <c r="BA7" s="401"/>
      <c r="BB7" s="401"/>
      <c r="BC7" s="401"/>
      <c r="BD7" s="401"/>
      <c r="BE7" s="401"/>
      <c r="BF7" s="401"/>
      <c r="BG7" s="401"/>
      <c r="BH7" s="401"/>
      <c r="BI7" s="401"/>
      <c r="BJ7" s="401"/>
      <c r="BK7" s="401"/>
      <c r="BL7" s="401"/>
      <c r="BM7" s="401"/>
      <c r="BN7" s="401"/>
      <c r="BO7" s="401"/>
      <c r="BP7" s="401"/>
      <c r="BQ7" s="401"/>
      <c r="BR7" s="401"/>
      <c r="BS7" s="401"/>
      <c r="BT7" s="401"/>
      <c r="BU7" s="401"/>
      <c r="BV7" s="401"/>
      <c r="BW7" s="401"/>
      <c r="BX7" s="401"/>
      <c r="BY7" s="401"/>
      <c r="BZ7" s="401"/>
      <c r="CA7" s="401"/>
      <c r="CB7" s="401"/>
      <c r="CC7" s="401"/>
      <c r="CD7" s="401"/>
      <c r="CE7" s="401"/>
      <c r="CF7" s="401"/>
      <c r="CG7" s="401"/>
      <c r="CH7" s="401"/>
    </row>
    <row r="8" spans="1:88" x14ac:dyDescent="0.3">
      <c r="A8" s="449"/>
      <c r="B8" s="449"/>
      <c r="C8" s="449"/>
      <c r="D8" s="449"/>
      <c r="E8" s="449"/>
      <c r="F8" s="449"/>
      <c r="G8" s="449"/>
      <c r="H8" s="449"/>
      <c r="I8" s="449"/>
      <c r="J8" s="449"/>
      <c r="K8" s="449"/>
      <c r="L8" s="449"/>
      <c r="M8" s="449"/>
      <c r="N8" s="449"/>
      <c r="O8" s="449"/>
      <c r="P8" s="449"/>
      <c r="Q8" s="449"/>
      <c r="R8" s="449"/>
      <c r="S8" s="449"/>
      <c r="T8" s="449"/>
      <c r="U8" s="449"/>
      <c r="V8" s="449"/>
      <c r="W8" s="449"/>
      <c r="X8" s="449"/>
      <c r="Y8" s="449"/>
      <c r="Z8" s="449"/>
      <c r="AA8" s="449"/>
      <c r="AB8" s="449"/>
      <c r="AC8" s="449"/>
      <c r="AD8" s="449"/>
      <c r="AE8" s="449"/>
      <c r="AF8" s="449"/>
      <c r="AG8" s="449"/>
      <c r="AH8" s="449"/>
      <c r="AI8" s="449"/>
      <c r="AJ8" s="449"/>
      <c r="AK8" s="449"/>
      <c r="AL8" s="449"/>
      <c r="AM8" s="449"/>
      <c r="AN8" s="449"/>
      <c r="AO8" s="449"/>
      <c r="AP8" s="449"/>
      <c r="AQ8" s="449"/>
      <c r="AR8" s="449"/>
      <c r="AS8" s="449"/>
      <c r="AT8" s="449"/>
      <c r="AU8" s="449"/>
      <c r="AV8" s="449"/>
      <c r="AW8" s="449"/>
      <c r="AX8" s="449"/>
      <c r="AY8" s="449"/>
      <c r="AZ8" s="449"/>
      <c r="BA8" s="449"/>
      <c r="BB8" s="449"/>
      <c r="BC8" s="449"/>
      <c r="BD8" s="449"/>
      <c r="BE8" s="449"/>
      <c r="BF8" s="449"/>
      <c r="BG8" s="449"/>
      <c r="BH8" s="449"/>
      <c r="BI8" s="449"/>
      <c r="BJ8" s="449"/>
      <c r="BK8" s="449"/>
      <c r="BL8" s="449"/>
      <c r="BM8" s="449"/>
      <c r="BN8" s="449"/>
      <c r="BO8" s="449"/>
      <c r="BP8" s="449"/>
      <c r="BQ8" s="449"/>
      <c r="BR8" s="449"/>
      <c r="BS8" s="449"/>
      <c r="BT8" s="449"/>
      <c r="BU8" s="449"/>
      <c r="BV8" s="449"/>
      <c r="BW8" s="449"/>
      <c r="BX8" s="449"/>
      <c r="BY8" s="449"/>
      <c r="BZ8" s="449"/>
      <c r="CA8" s="449"/>
      <c r="CB8" s="449"/>
      <c r="CC8" s="449"/>
      <c r="CD8" s="449"/>
      <c r="CE8" s="449"/>
      <c r="CF8" s="449"/>
      <c r="CG8" s="449"/>
      <c r="CH8" s="449"/>
    </row>
    <row r="9" spans="1:88" s="370" customFormat="1" ht="15" customHeight="1" x14ac:dyDescent="0.25">
      <c r="A9" s="450" t="s">
        <v>21</v>
      </c>
      <c r="B9" s="410" t="s">
        <v>193</v>
      </c>
      <c r="C9" s="432" t="s">
        <v>281</v>
      </c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2"/>
      <c r="R9" s="432"/>
      <c r="S9" s="432"/>
      <c r="T9" s="432"/>
      <c r="U9" s="432"/>
      <c r="V9" s="432"/>
      <c r="W9" s="432"/>
      <c r="X9" s="432"/>
      <c r="Y9" s="432"/>
      <c r="Z9" s="432"/>
      <c r="AA9" s="451" t="s">
        <v>282</v>
      </c>
      <c r="AB9" s="452"/>
      <c r="AC9" s="452"/>
      <c r="AD9" s="452"/>
      <c r="AE9" s="452"/>
      <c r="AF9" s="452"/>
      <c r="AG9" s="452"/>
      <c r="AH9" s="452"/>
      <c r="AI9" s="452"/>
      <c r="AJ9" s="452"/>
      <c r="AK9" s="452"/>
      <c r="AL9" s="452"/>
      <c r="AM9" s="432" t="s">
        <v>282</v>
      </c>
      <c r="AN9" s="432"/>
      <c r="AO9" s="432"/>
      <c r="AP9" s="432"/>
      <c r="AQ9" s="432"/>
      <c r="AR9" s="432"/>
      <c r="AS9" s="432"/>
      <c r="AT9" s="432"/>
      <c r="AU9" s="432"/>
      <c r="AV9" s="432"/>
      <c r="AW9" s="432"/>
      <c r="AX9" s="432"/>
      <c r="AY9" s="432"/>
      <c r="AZ9" s="432"/>
      <c r="BA9" s="432"/>
      <c r="BB9" s="432"/>
      <c r="BC9" s="432"/>
      <c r="BD9" s="432"/>
      <c r="BE9" s="432"/>
      <c r="BF9" s="432"/>
      <c r="BG9" s="432"/>
      <c r="BH9" s="432"/>
      <c r="BI9" s="432"/>
      <c r="BJ9" s="432"/>
      <c r="BK9" s="432"/>
      <c r="BL9" s="432"/>
      <c r="BM9" s="432"/>
      <c r="BN9" s="432"/>
      <c r="BO9" s="432"/>
      <c r="BP9" s="432"/>
      <c r="BQ9" s="432"/>
      <c r="BR9" s="432"/>
      <c r="BS9" s="432"/>
      <c r="BT9" s="432"/>
      <c r="BU9" s="432"/>
      <c r="BV9" s="432"/>
      <c r="BW9" s="432"/>
      <c r="BX9" s="432"/>
      <c r="BY9" s="432"/>
      <c r="BZ9" s="432"/>
      <c r="CA9" s="432"/>
      <c r="CB9" s="432"/>
      <c r="CC9" s="432"/>
      <c r="CD9" s="432"/>
      <c r="CE9" s="432"/>
      <c r="CF9" s="432"/>
      <c r="CG9" s="432"/>
      <c r="CH9" s="432"/>
    </row>
    <row r="10" spans="1:88" s="370" customFormat="1" ht="15" customHeight="1" x14ac:dyDescent="0.25">
      <c r="A10" s="450"/>
      <c r="B10" s="410"/>
      <c r="C10" s="433" t="s">
        <v>194</v>
      </c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3" t="s">
        <v>283</v>
      </c>
      <c r="P10" s="434"/>
      <c r="Q10" s="434"/>
      <c r="R10" s="434"/>
      <c r="S10" s="434"/>
      <c r="T10" s="434"/>
      <c r="U10" s="434"/>
      <c r="V10" s="434"/>
      <c r="W10" s="434"/>
      <c r="X10" s="434"/>
      <c r="Y10" s="434"/>
      <c r="Z10" s="434"/>
      <c r="AA10" s="433" t="s">
        <v>284</v>
      </c>
      <c r="AB10" s="434"/>
      <c r="AC10" s="434"/>
      <c r="AD10" s="434"/>
      <c r="AE10" s="434"/>
      <c r="AF10" s="434"/>
      <c r="AG10" s="434"/>
      <c r="AH10" s="434"/>
      <c r="AI10" s="434"/>
      <c r="AJ10" s="434"/>
      <c r="AK10" s="434"/>
      <c r="AL10" s="434"/>
      <c r="AM10" s="446" t="s">
        <v>904</v>
      </c>
      <c r="AN10" s="446"/>
      <c r="AO10" s="446"/>
      <c r="AP10" s="446"/>
      <c r="AQ10" s="446"/>
      <c r="AR10" s="446"/>
      <c r="AS10" s="446"/>
      <c r="AT10" s="446"/>
      <c r="AU10" s="446"/>
      <c r="AV10" s="446"/>
      <c r="AW10" s="446"/>
      <c r="AX10" s="446"/>
      <c r="AY10" s="447" t="s">
        <v>905</v>
      </c>
      <c r="AZ10" s="447"/>
      <c r="BA10" s="447"/>
      <c r="BB10" s="447"/>
      <c r="BC10" s="447"/>
      <c r="BD10" s="447"/>
      <c r="BE10" s="447"/>
      <c r="BF10" s="447"/>
      <c r="BG10" s="447"/>
      <c r="BH10" s="447"/>
      <c r="BI10" s="447"/>
      <c r="BJ10" s="447"/>
      <c r="BK10" s="448" t="s">
        <v>285</v>
      </c>
      <c r="BL10" s="448"/>
      <c r="BM10" s="448"/>
      <c r="BN10" s="448"/>
      <c r="BO10" s="448"/>
      <c r="BP10" s="448"/>
      <c r="BQ10" s="448"/>
      <c r="BR10" s="448"/>
      <c r="BS10" s="448"/>
      <c r="BT10" s="448"/>
      <c r="BU10" s="448"/>
      <c r="BV10" s="448"/>
      <c r="BW10" s="447" t="s">
        <v>906</v>
      </c>
      <c r="BX10" s="447"/>
      <c r="BY10" s="447"/>
      <c r="BZ10" s="447"/>
      <c r="CA10" s="447"/>
      <c r="CB10" s="447"/>
      <c r="CC10" s="447"/>
      <c r="CD10" s="447"/>
      <c r="CE10" s="447"/>
      <c r="CF10" s="447"/>
      <c r="CG10" s="447"/>
      <c r="CH10" s="447"/>
    </row>
    <row r="11" spans="1:88" s="370" customFormat="1" x14ac:dyDescent="0.25">
      <c r="A11" s="450"/>
      <c r="B11" s="410"/>
      <c r="C11" s="435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6"/>
      <c r="O11" s="435"/>
      <c r="P11" s="436"/>
      <c r="Q11" s="436"/>
      <c r="R11" s="436"/>
      <c r="S11" s="436"/>
      <c r="T11" s="436"/>
      <c r="U11" s="436"/>
      <c r="V11" s="436"/>
      <c r="W11" s="436"/>
      <c r="X11" s="436"/>
      <c r="Y11" s="436"/>
      <c r="Z11" s="436"/>
      <c r="AA11" s="435"/>
      <c r="AB11" s="436"/>
      <c r="AC11" s="436"/>
      <c r="AD11" s="436"/>
      <c r="AE11" s="436"/>
      <c r="AF11" s="436"/>
      <c r="AG11" s="436"/>
      <c r="AH11" s="436"/>
      <c r="AI11" s="436"/>
      <c r="AJ11" s="436"/>
      <c r="AK11" s="436"/>
      <c r="AL11" s="436"/>
      <c r="AM11" s="446"/>
      <c r="AN11" s="446"/>
      <c r="AO11" s="446"/>
      <c r="AP11" s="446"/>
      <c r="AQ11" s="446"/>
      <c r="AR11" s="446"/>
      <c r="AS11" s="446"/>
      <c r="AT11" s="446"/>
      <c r="AU11" s="446"/>
      <c r="AV11" s="446"/>
      <c r="AW11" s="446"/>
      <c r="AX11" s="446"/>
      <c r="AY11" s="447"/>
      <c r="AZ11" s="447"/>
      <c r="BA11" s="447"/>
      <c r="BB11" s="447"/>
      <c r="BC11" s="447"/>
      <c r="BD11" s="447"/>
      <c r="BE11" s="447"/>
      <c r="BF11" s="447"/>
      <c r="BG11" s="447"/>
      <c r="BH11" s="447"/>
      <c r="BI11" s="447"/>
      <c r="BJ11" s="447"/>
      <c r="BK11" s="448"/>
      <c r="BL11" s="448"/>
      <c r="BM11" s="448"/>
      <c r="BN11" s="448"/>
      <c r="BO11" s="448"/>
      <c r="BP11" s="448"/>
      <c r="BQ11" s="448"/>
      <c r="BR11" s="448"/>
      <c r="BS11" s="448"/>
      <c r="BT11" s="448"/>
      <c r="BU11" s="448"/>
      <c r="BV11" s="448"/>
      <c r="BW11" s="447"/>
      <c r="BX11" s="447"/>
      <c r="BY11" s="447"/>
      <c r="BZ11" s="447"/>
      <c r="CA11" s="447"/>
      <c r="CB11" s="447"/>
      <c r="CC11" s="447"/>
      <c r="CD11" s="447"/>
      <c r="CE11" s="447"/>
      <c r="CF11" s="447"/>
      <c r="CG11" s="447"/>
      <c r="CH11" s="447"/>
    </row>
    <row r="12" spans="1:88" s="370" customFormat="1" ht="24.75" customHeight="1" x14ac:dyDescent="0.25">
      <c r="A12" s="450"/>
      <c r="B12" s="410"/>
      <c r="C12" s="437"/>
      <c r="D12" s="438"/>
      <c r="E12" s="438"/>
      <c r="F12" s="438"/>
      <c r="G12" s="438"/>
      <c r="H12" s="438"/>
      <c r="I12" s="438"/>
      <c r="J12" s="438"/>
      <c r="K12" s="438"/>
      <c r="L12" s="438"/>
      <c r="M12" s="438"/>
      <c r="N12" s="438"/>
      <c r="O12" s="437"/>
      <c r="P12" s="438"/>
      <c r="Q12" s="438"/>
      <c r="R12" s="438"/>
      <c r="S12" s="438"/>
      <c r="T12" s="438"/>
      <c r="U12" s="438"/>
      <c r="V12" s="438"/>
      <c r="W12" s="438"/>
      <c r="X12" s="438"/>
      <c r="Y12" s="438"/>
      <c r="Z12" s="438"/>
      <c r="AA12" s="437"/>
      <c r="AB12" s="438"/>
      <c r="AC12" s="438"/>
      <c r="AD12" s="438"/>
      <c r="AE12" s="438"/>
      <c r="AF12" s="438"/>
      <c r="AG12" s="438"/>
      <c r="AH12" s="438"/>
      <c r="AI12" s="438"/>
      <c r="AJ12" s="438"/>
      <c r="AK12" s="438"/>
      <c r="AL12" s="438"/>
      <c r="AM12" s="446"/>
      <c r="AN12" s="446"/>
      <c r="AO12" s="446"/>
      <c r="AP12" s="446"/>
      <c r="AQ12" s="446"/>
      <c r="AR12" s="446"/>
      <c r="AS12" s="446"/>
      <c r="AT12" s="446"/>
      <c r="AU12" s="446"/>
      <c r="AV12" s="446"/>
      <c r="AW12" s="446"/>
      <c r="AX12" s="446"/>
      <c r="AY12" s="447"/>
      <c r="AZ12" s="447"/>
      <c r="BA12" s="447"/>
      <c r="BB12" s="447"/>
      <c r="BC12" s="447"/>
      <c r="BD12" s="447"/>
      <c r="BE12" s="447"/>
      <c r="BF12" s="447"/>
      <c r="BG12" s="447"/>
      <c r="BH12" s="447"/>
      <c r="BI12" s="447"/>
      <c r="BJ12" s="447"/>
      <c r="BK12" s="448"/>
      <c r="BL12" s="448"/>
      <c r="BM12" s="448"/>
      <c r="BN12" s="448"/>
      <c r="BO12" s="448"/>
      <c r="BP12" s="448"/>
      <c r="BQ12" s="448"/>
      <c r="BR12" s="448"/>
      <c r="BS12" s="448"/>
      <c r="BT12" s="448"/>
      <c r="BU12" s="448"/>
      <c r="BV12" s="448"/>
      <c r="BW12" s="447"/>
      <c r="BX12" s="447"/>
      <c r="BY12" s="447"/>
      <c r="BZ12" s="447"/>
      <c r="CA12" s="447"/>
      <c r="CB12" s="447"/>
      <c r="CC12" s="447"/>
      <c r="CD12" s="447"/>
      <c r="CE12" s="447"/>
      <c r="CF12" s="447"/>
      <c r="CG12" s="447"/>
      <c r="CH12" s="447"/>
    </row>
    <row r="13" spans="1:88" s="370" customFormat="1" ht="15" customHeight="1" x14ac:dyDescent="0.25">
      <c r="A13" s="450"/>
      <c r="B13" s="410"/>
      <c r="C13" s="439" t="s">
        <v>195</v>
      </c>
      <c r="D13" s="411" t="s">
        <v>196</v>
      </c>
      <c r="E13" s="412"/>
      <c r="F13" s="412"/>
      <c r="G13" s="412"/>
      <c r="H13" s="412"/>
      <c r="I13" s="412"/>
      <c r="J13" s="412"/>
      <c r="K13" s="412"/>
      <c r="L13" s="412"/>
      <c r="M13" s="412"/>
      <c r="N13" s="412"/>
      <c r="O13" s="439" t="s">
        <v>195</v>
      </c>
      <c r="P13" s="411" t="s">
        <v>196</v>
      </c>
      <c r="Q13" s="412"/>
      <c r="R13" s="412"/>
      <c r="S13" s="412"/>
      <c r="T13" s="412"/>
      <c r="U13" s="412"/>
      <c r="V13" s="412"/>
      <c r="W13" s="412"/>
      <c r="X13" s="412"/>
      <c r="Y13" s="412"/>
      <c r="Z13" s="412"/>
      <c r="AA13" s="439" t="s">
        <v>195</v>
      </c>
      <c r="AB13" s="411" t="s">
        <v>196</v>
      </c>
      <c r="AC13" s="412"/>
      <c r="AD13" s="412"/>
      <c r="AE13" s="412"/>
      <c r="AF13" s="412"/>
      <c r="AG13" s="412"/>
      <c r="AH13" s="412"/>
      <c r="AI13" s="412"/>
      <c r="AJ13" s="412"/>
      <c r="AK13" s="412"/>
      <c r="AL13" s="412"/>
      <c r="AM13" s="441" t="s">
        <v>195</v>
      </c>
      <c r="AN13" s="441" t="s">
        <v>196</v>
      </c>
      <c r="AO13" s="441"/>
      <c r="AP13" s="441"/>
      <c r="AQ13" s="441"/>
      <c r="AR13" s="441"/>
      <c r="AS13" s="441"/>
      <c r="AT13" s="441"/>
      <c r="AU13" s="441"/>
      <c r="AV13" s="441"/>
      <c r="AW13" s="441"/>
      <c r="AX13" s="441"/>
      <c r="AY13" s="441" t="s">
        <v>195</v>
      </c>
      <c r="AZ13" s="440" t="s">
        <v>196</v>
      </c>
      <c r="BA13" s="440"/>
      <c r="BB13" s="440"/>
      <c r="BC13" s="440"/>
      <c r="BD13" s="440"/>
      <c r="BE13" s="440"/>
      <c r="BF13" s="440"/>
      <c r="BG13" s="440"/>
      <c r="BH13" s="440"/>
      <c r="BI13" s="440"/>
      <c r="BJ13" s="440"/>
      <c r="BK13" s="441" t="s">
        <v>195</v>
      </c>
      <c r="BL13" s="441" t="str">
        <f>AZ13</f>
        <v>Плановое значение</v>
      </c>
      <c r="BM13" s="441"/>
      <c r="BN13" s="441"/>
      <c r="BO13" s="441"/>
      <c r="BP13" s="441"/>
      <c r="BQ13" s="441"/>
      <c r="BR13" s="441"/>
      <c r="BS13" s="441"/>
      <c r="BT13" s="441"/>
      <c r="BU13" s="441"/>
      <c r="BV13" s="441"/>
      <c r="BW13" s="441" t="s">
        <v>195</v>
      </c>
      <c r="BX13" s="440" t="s">
        <v>196</v>
      </c>
      <c r="BY13" s="440"/>
      <c r="BZ13" s="440"/>
      <c r="CA13" s="440"/>
      <c r="CB13" s="440"/>
      <c r="CC13" s="440"/>
      <c r="CD13" s="440"/>
      <c r="CE13" s="440"/>
      <c r="CF13" s="440"/>
      <c r="CG13" s="440"/>
      <c r="CH13" s="440"/>
    </row>
    <row r="14" spans="1:88" s="371" customFormat="1" ht="52.5" customHeight="1" x14ac:dyDescent="0.25">
      <c r="A14" s="450"/>
      <c r="B14" s="410"/>
      <c r="C14" s="439"/>
      <c r="D14" s="319">
        <v>2024</v>
      </c>
      <c r="E14" s="319">
        <f>D14+1</f>
        <v>2025</v>
      </c>
      <c r="F14" s="319">
        <f t="shared" ref="F14:M14" si="0">E14+1</f>
        <v>2026</v>
      </c>
      <c r="G14" s="319">
        <f t="shared" si="0"/>
        <v>2027</v>
      </c>
      <c r="H14" s="319">
        <f t="shared" si="0"/>
        <v>2028</v>
      </c>
      <c r="I14" s="319">
        <f t="shared" si="0"/>
        <v>2029</v>
      </c>
      <c r="J14" s="319">
        <f t="shared" si="0"/>
        <v>2030</v>
      </c>
      <c r="K14" s="319">
        <f t="shared" si="0"/>
        <v>2031</v>
      </c>
      <c r="L14" s="319">
        <f t="shared" si="0"/>
        <v>2032</v>
      </c>
      <c r="M14" s="319">
        <f t="shared" si="0"/>
        <v>2033</v>
      </c>
      <c r="N14" s="319" t="s">
        <v>630</v>
      </c>
      <c r="O14" s="439"/>
      <c r="P14" s="319">
        <f t="shared" ref="P14:Z14" si="1">D14</f>
        <v>2024</v>
      </c>
      <c r="Q14" s="319">
        <f t="shared" si="1"/>
        <v>2025</v>
      </c>
      <c r="R14" s="319">
        <f t="shared" si="1"/>
        <v>2026</v>
      </c>
      <c r="S14" s="319">
        <f t="shared" si="1"/>
        <v>2027</v>
      </c>
      <c r="T14" s="319">
        <f t="shared" si="1"/>
        <v>2028</v>
      </c>
      <c r="U14" s="319">
        <f t="shared" si="1"/>
        <v>2029</v>
      </c>
      <c r="V14" s="319">
        <f t="shared" si="1"/>
        <v>2030</v>
      </c>
      <c r="W14" s="319">
        <f t="shared" si="1"/>
        <v>2031</v>
      </c>
      <c r="X14" s="319">
        <f t="shared" si="1"/>
        <v>2032</v>
      </c>
      <c r="Y14" s="319">
        <f t="shared" si="1"/>
        <v>2033</v>
      </c>
      <c r="Z14" s="319" t="str">
        <f t="shared" si="1"/>
        <v>2034-2038</v>
      </c>
      <c r="AA14" s="439"/>
      <c r="AB14" s="319">
        <f t="shared" ref="AB14:AL14" si="2">P14</f>
        <v>2024</v>
      </c>
      <c r="AC14" s="319">
        <f t="shared" si="2"/>
        <v>2025</v>
      </c>
      <c r="AD14" s="319">
        <f t="shared" si="2"/>
        <v>2026</v>
      </c>
      <c r="AE14" s="319">
        <f t="shared" si="2"/>
        <v>2027</v>
      </c>
      <c r="AF14" s="319">
        <f t="shared" si="2"/>
        <v>2028</v>
      </c>
      <c r="AG14" s="319">
        <f t="shared" si="2"/>
        <v>2029</v>
      </c>
      <c r="AH14" s="319">
        <f t="shared" si="2"/>
        <v>2030</v>
      </c>
      <c r="AI14" s="319">
        <f t="shared" si="2"/>
        <v>2031</v>
      </c>
      <c r="AJ14" s="319">
        <f t="shared" si="2"/>
        <v>2032</v>
      </c>
      <c r="AK14" s="319">
        <f t="shared" si="2"/>
        <v>2033</v>
      </c>
      <c r="AL14" s="319" t="str">
        <f t="shared" si="2"/>
        <v>2034-2038</v>
      </c>
      <c r="AM14" s="441"/>
      <c r="AN14" s="313">
        <f t="shared" ref="AN14:AX14" si="3">AB14</f>
        <v>2024</v>
      </c>
      <c r="AO14" s="313">
        <f t="shared" si="3"/>
        <v>2025</v>
      </c>
      <c r="AP14" s="313">
        <f t="shared" si="3"/>
        <v>2026</v>
      </c>
      <c r="AQ14" s="313">
        <f t="shared" si="3"/>
        <v>2027</v>
      </c>
      <c r="AR14" s="313">
        <f t="shared" si="3"/>
        <v>2028</v>
      </c>
      <c r="AS14" s="313">
        <f t="shared" si="3"/>
        <v>2029</v>
      </c>
      <c r="AT14" s="313">
        <f t="shared" si="3"/>
        <v>2030</v>
      </c>
      <c r="AU14" s="313">
        <f t="shared" si="3"/>
        <v>2031</v>
      </c>
      <c r="AV14" s="313">
        <f t="shared" si="3"/>
        <v>2032</v>
      </c>
      <c r="AW14" s="313">
        <f t="shared" si="3"/>
        <v>2033</v>
      </c>
      <c r="AX14" s="313" t="str">
        <f t="shared" si="3"/>
        <v>2034-2038</v>
      </c>
      <c r="AY14" s="441"/>
      <c r="AZ14" s="313">
        <f t="shared" ref="AZ14:BJ14" si="4">AN14</f>
        <v>2024</v>
      </c>
      <c r="BA14" s="313">
        <f t="shared" si="4"/>
        <v>2025</v>
      </c>
      <c r="BB14" s="313">
        <f t="shared" si="4"/>
        <v>2026</v>
      </c>
      <c r="BC14" s="313">
        <f t="shared" si="4"/>
        <v>2027</v>
      </c>
      <c r="BD14" s="313">
        <f t="shared" si="4"/>
        <v>2028</v>
      </c>
      <c r="BE14" s="313">
        <f t="shared" si="4"/>
        <v>2029</v>
      </c>
      <c r="BF14" s="313">
        <f t="shared" si="4"/>
        <v>2030</v>
      </c>
      <c r="BG14" s="313">
        <f t="shared" si="4"/>
        <v>2031</v>
      </c>
      <c r="BH14" s="313">
        <f t="shared" si="4"/>
        <v>2032</v>
      </c>
      <c r="BI14" s="313">
        <f t="shared" si="4"/>
        <v>2033</v>
      </c>
      <c r="BJ14" s="313" t="str">
        <f t="shared" si="4"/>
        <v>2034-2038</v>
      </c>
      <c r="BK14" s="441"/>
      <c r="BL14" s="313">
        <f>AZ14</f>
        <v>2024</v>
      </c>
      <c r="BM14" s="313">
        <f t="shared" ref="BM14:BV14" si="5">BA14</f>
        <v>2025</v>
      </c>
      <c r="BN14" s="313">
        <f t="shared" si="5"/>
        <v>2026</v>
      </c>
      <c r="BO14" s="313">
        <f t="shared" si="5"/>
        <v>2027</v>
      </c>
      <c r="BP14" s="313">
        <f t="shared" si="5"/>
        <v>2028</v>
      </c>
      <c r="BQ14" s="313">
        <f t="shared" si="5"/>
        <v>2029</v>
      </c>
      <c r="BR14" s="313">
        <f t="shared" si="5"/>
        <v>2030</v>
      </c>
      <c r="BS14" s="313">
        <f t="shared" si="5"/>
        <v>2031</v>
      </c>
      <c r="BT14" s="313">
        <f t="shared" si="5"/>
        <v>2032</v>
      </c>
      <c r="BU14" s="313">
        <f t="shared" si="5"/>
        <v>2033</v>
      </c>
      <c r="BV14" s="313" t="str">
        <f t="shared" si="5"/>
        <v>2034-2038</v>
      </c>
      <c r="BW14" s="441"/>
      <c r="BX14" s="313">
        <f t="shared" ref="BX14:CH14" si="6">BL14</f>
        <v>2024</v>
      </c>
      <c r="BY14" s="313">
        <f t="shared" si="6"/>
        <v>2025</v>
      </c>
      <c r="BZ14" s="313">
        <f t="shared" si="6"/>
        <v>2026</v>
      </c>
      <c r="CA14" s="313">
        <f t="shared" si="6"/>
        <v>2027</v>
      </c>
      <c r="CB14" s="313">
        <f t="shared" si="6"/>
        <v>2028</v>
      </c>
      <c r="CC14" s="313">
        <f t="shared" si="6"/>
        <v>2029</v>
      </c>
      <c r="CD14" s="313">
        <f t="shared" si="6"/>
        <v>2030</v>
      </c>
      <c r="CE14" s="313">
        <f t="shared" si="6"/>
        <v>2031</v>
      </c>
      <c r="CF14" s="313">
        <f t="shared" si="6"/>
        <v>2032</v>
      </c>
      <c r="CG14" s="313">
        <f t="shared" si="6"/>
        <v>2033</v>
      </c>
      <c r="CH14" s="313" t="str">
        <f t="shared" si="6"/>
        <v>2034-2038</v>
      </c>
    </row>
    <row r="15" spans="1:88" s="370" customFormat="1" ht="18.75" customHeight="1" x14ac:dyDescent="0.25">
      <c r="A15" s="320">
        <v>1</v>
      </c>
      <c r="B15" s="320">
        <f t="shared" ref="B15:BM15" si="7">A15+1</f>
        <v>2</v>
      </c>
      <c r="C15" s="320">
        <f t="shared" si="7"/>
        <v>3</v>
      </c>
      <c r="D15" s="320">
        <f t="shared" si="7"/>
        <v>4</v>
      </c>
      <c r="E15" s="320">
        <f t="shared" si="7"/>
        <v>5</v>
      </c>
      <c r="F15" s="320">
        <f t="shared" si="7"/>
        <v>6</v>
      </c>
      <c r="G15" s="320">
        <f t="shared" si="7"/>
        <v>7</v>
      </c>
      <c r="H15" s="320">
        <f t="shared" si="7"/>
        <v>8</v>
      </c>
      <c r="I15" s="320">
        <f t="shared" si="7"/>
        <v>9</v>
      </c>
      <c r="J15" s="320">
        <f t="shared" si="7"/>
        <v>10</v>
      </c>
      <c r="K15" s="320">
        <f t="shared" si="7"/>
        <v>11</v>
      </c>
      <c r="L15" s="320">
        <f t="shared" si="7"/>
        <v>12</v>
      </c>
      <c r="M15" s="320">
        <f t="shared" si="7"/>
        <v>13</v>
      </c>
      <c r="N15" s="320">
        <f t="shared" si="7"/>
        <v>14</v>
      </c>
      <c r="O15" s="320">
        <f t="shared" si="7"/>
        <v>15</v>
      </c>
      <c r="P15" s="320">
        <f t="shared" si="7"/>
        <v>16</v>
      </c>
      <c r="Q15" s="320">
        <f t="shared" si="7"/>
        <v>17</v>
      </c>
      <c r="R15" s="320">
        <f t="shared" si="7"/>
        <v>18</v>
      </c>
      <c r="S15" s="320">
        <f t="shared" si="7"/>
        <v>19</v>
      </c>
      <c r="T15" s="320">
        <f t="shared" si="7"/>
        <v>20</v>
      </c>
      <c r="U15" s="320">
        <f t="shared" si="7"/>
        <v>21</v>
      </c>
      <c r="V15" s="320">
        <f t="shared" si="7"/>
        <v>22</v>
      </c>
      <c r="W15" s="320">
        <f t="shared" si="7"/>
        <v>23</v>
      </c>
      <c r="X15" s="320">
        <f t="shared" si="7"/>
        <v>24</v>
      </c>
      <c r="Y15" s="320">
        <f t="shared" si="7"/>
        <v>25</v>
      </c>
      <c r="Z15" s="320">
        <f t="shared" si="7"/>
        <v>26</v>
      </c>
      <c r="AA15" s="320">
        <f t="shared" si="7"/>
        <v>27</v>
      </c>
      <c r="AB15" s="320">
        <f t="shared" si="7"/>
        <v>28</v>
      </c>
      <c r="AC15" s="320">
        <f t="shared" si="7"/>
        <v>29</v>
      </c>
      <c r="AD15" s="320">
        <f t="shared" si="7"/>
        <v>30</v>
      </c>
      <c r="AE15" s="320">
        <f t="shared" si="7"/>
        <v>31</v>
      </c>
      <c r="AF15" s="320">
        <f t="shared" si="7"/>
        <v>32</v>
      </c>
      <c r="AG15" s="320">
        <f t="shared" si="7"/>
        <v>33</v>
      </c>
      <c r="AH15" s="320">
        <f t="shared" si="7"/>
        <v>34</v>
      </c>
      <c r="AI15" s="320">
        <f t="shared" si="7"/>
        <v>35</v>
      </c>
      <c r="AJ15" s="320">
        <f t="shared" si="7"/>
        <v>36</v>
      </c>
      <c r="AK15" s="320">
        <f t="shared" si="7"/>
        <v>37</v>
      </c>
      <c r="AL15" s="320">
        <f t="shared" si="7"/>
        <v>38</v>
      </c>
      <c r="AM15" s="320">
        <f t="shared" si="7"/>
        <v>39</v>
      </c>
      <c r="AN15" s="320">
        <f t="shared" si="7"/>
        <v>40</v>
      </c>
      <c r="AO15" s="320">
        <f t="shared" si="7"/>
        <v>41</v>
      </c>
      <c r="AP15" s="320">
        <f t="shared" si="7"/>
        <v>42</v>
      </c>
      <c r="AQ15" s="320">
        <f t="shared" si="7"/>
        <v>43</v>
      </c>
      <c r="AR15" s="320">
        <f t="shared" si="7"/>
        <v>44</v>
      </c>
      <c r="AS15" s="320">
        <f t="shared" si="7"/>
        <v>45</v>
      </c>
      <c r="AT15" s="320">
        <f t="shared" si="7"/>
        <v>46</v>
      </c>
      <c r="AU15" s="320">
        <f t="shared" si="7"/>
        <v>47</v>
      </c>
      <c r="AV15" s="320">
        <f t="shared" si="7"/>
        <v>48</v>
      </c>
      <c r="AW15" s="320">
        <f t="shared" si="7"/>
        <v>49</v>
      </c>
      <c r="AX15" s="320">
        <f t="shared" si="7"/>
        <v>50</v>
      </c>
      <c r="AY15" s="320">
        <f t="shared" si="7"/>
        <v>51</v>
      </c>
      <c r="AZ15" s="320">
        <f t="shared" si="7"/>
        <v>52</v>
      </c>
      <c r="BA15" s="320">
        <f t="shared" si="7"/>
        <v>53</v>
      </c>
      <c r="BB15" s="320">
        <f t="shared" si="7"/>
        <v>54</v>
      </c>
      <c r="BC15" s="320">
        <f t="shared" si="7"/>
        <v>55</v>
      </c>
      <c r="BD15" s="320">
        <f t="shared" si="7"/>
        <v>56</v>
      </c>
      <c r="BE15" s="320">
        <f t="shared" si="7"/>
        <v>57</v>
      </c>
      <c r="BF15" s="320">
        <f t="shared" si="7"/>
        <v>58</v>
      </c>
      <c r="BG15" s="320">
        <f t="shared" si="7"/>
        <v>59</v>
      </c>
      <c r="BH15" s="320">
        <f t="shared" si="7"/>
        <v>60</v>
      </c>
      <c r="BI15" s="320">
        <f t="shared" si="7"/>
        <v>61</v>
      </c>
      <c r="BJ15" s="320">
        <f t="shared" si="7"/>
        <v>62</v>
      </c>
      <c r="BK15" s="320">
        <f t="shared" si="7"/>
        <v>63</v>
      </c>
      <c r="BL15" s="320">
        <f t="shared" si="7"/>
        <v>64</v>
      </c>
      <c r="BM15" s="320">
        <f t="shared" si="7"/>
        <v>65</v>
      </c>
      <c r="BN15" s="320">
        <f t="shared" ref="BN15:CH15" si="8">BM15+1</f>
        <v>66</v>
      </c>
      <c r="BO15" s="320">
        <f t="shared" si="8"/>
        <v>67</v>
      </c>
      <c r="BP15" s="320">
        <f t="shared" si="8"/>
        <v>68</v>
      </c>
      <c r="BQ15" s="320">
        <f t="shared" si="8"/>
        <v>69</v>
      </c>
      <c r="BR15" s="320">
        <f t="shared" si="8"/>
        <v>70</v>
      </c>
      <c r="BS15" s="320">
        <f t="shared" si="8"/>
        <v>71</v>
      </c>
      <c r="BT15" s="320">
        <f t="shared" si="8"/>
        <v>72</v>
      </c>
      <c r="BU15" s="320">
        <f t="shared" si="8"/>
        <v>73</v>
      </c>
      <c r="BV15" s="320">
        <f t="shared" si="8"/>
        <v>74</v>
      </c>
      <c r="BW15" s="320">
        <f t="shared" si="8"/>
        <v>75</v>
      </c>
      <c r="BX15" s="320">
        <f t="shared" si="8"/>
        <v>76</v>
      </c>
      <c r="BY15" s="320">
        <f t="shared" si="8"/>
        <v>77</v>
      </c>
      <c r="BZ15" s="320">
        <f t="shared" si="8"/>
        <v>78</v>
      </c>
      <c r="CA15" s="320">
        <f t="shared" si="8"/>
        <v>79</v>
      </c>
      <c r="CB15" s="320">
        <f t="shared" si="8"/>
        <v>80</v>
      </c>
      <c r="CC15" s="320">
        <f t="shared" si="8"/>
        <v>81</v>
      </c>
      <c r="CD15" s="320">
        <f t="shared" si="8"/>
        <v>82</v>
      </c>
      <c r="CE15" s="320">
        <f t="shared" si="8"/>
        <v>83</v>
      </c>
      <c r="CF15" s="320">
        <f t="shared" si="8"/>
        <v>84</v>
      </c>
      <c r="CG15" s="320">
        <f t="shared" si="8"/>
        <v>85</v>
      </c>
      <c r="CH15" s="320">
        <f t="shared" si="8"/>
        <v>86</v>
      </c>
    </row>
    <row r="16" spans="1:88" s="370" customFormat="1" ht="53.25" customHeight="1" x14ac:dyDescent="0.25">
      <c r="A16" s="320" t="s">
        <v>2</v>
      </c>
      <c r="B16" s="383" t="s">
        <v>631</v>
      </c>
      <c r="C16" s="321" t="s">
        <v>4</v>
      </c>
      <c r="D16" s="321" t="s">
        <v>4</v>
      </c>
      <c r="E16" s="321" t="s">
        <v>4</v>
      </c>
      <c r="F16" s="321" t="s">
        <v>4</v>
      </c>
      <c r="G16" s="321" t="s">
        <v>4</v>
      </c>
      <c r="H16" s="321" t="s">
        <v>4</v>
      </c>
      <c r="I16" s="321" t="s">
        <v>4</v>
      </c>
      <c r="J16" s="321" t="s">
        <v>4</v>
      </c>
      <c r="K16" s="321" t="s">
        <v>4</v>
      </c>
      <c r="L16" s="321" t="s">
        <v>4</v>
      </c>
      <c r="M16" s="321" t="s">
        <v>4</v>
      </c>
      <c r="N16" s="321" t="s">
        <v>4</v>
      </c>
      <c r="O16" s="321" t="s">
        <v>4</v>
      </c>
      <c r="P16" s="321" t="s">
        <v>4</v>
      </c>
      <c r="Q16" s="321" t="s">
        <v>4</v>
      </c>
      <c r="R16" s="321" t="s">
        <v>4</v>
      </c>
      <c r="S16" s="321" t="s">
        <v>4</v>
      </c>
      <c r="T16" s="321" t="s">
        <v>4</v>
      </c>
      <c r="U16" s="321" t="s">
        <v>4</v>
      </c>
      <c r="V16" s="321" t="s">
        <v>4</v>
      </c>
      <c r="W16" s="321" t="s">
        <v>4</v>
      </c>
      <c r="X16" s="321" t="s">
        <v>4</v>
      </c>
      <c r="Y16" s="321" t="s">
        <v>4</v>
      </c>
      <c r="Z16" s="321" t="s">
        <v>4</v>
      </c>
      <c r="AA16" s="402">
        <v>214.9</v>
      </c>
      <c r="AB16" s="402">
        <f>AA16</f>
        <v>214.9</v>
      </c>
      <c r="AC16" s="402">
        <f>AB16</f>
        <v>214.9</v>
      </c>
      <c r="AD16" s="402" t="s">
        <v>4</v>
      </c>
      <c r="AE16" s="402" t="s">
        <v>4</v>
      </c>
      <c r="AF16" s="402" t="s">
        <v>4</v>
      </c>
      <c r="AG16" s="402" t="s">
        <v>4</v>
      </c>
      <c r="AH16" s="402" t="s">
        <v>4</v>
      </c>
      <c r="AI16" s="402" t="s">
        <v>4</v>
      </c>
      <c r="AJ16" s="402" t="s">
        <v>4</v>
      </c>
      <c r="AK16" s="402" t="s">
        <v>4</v>
      </c>
      <c r="AL16" s="402" t="s">
        <v>4</v>
      </c>
      <c r="AM16" s="321" t="s">
        <v>4</v>
      </c>
      <c r="AN16" s="321" t="s">
        <v>4</v>
      </c>
      <c r="AO16" s="321" t="s">
        <v>4</v>
      </c>
      <c r="AP16" s="321" t="s">
        <v>4</v>
      </c>
      <c r="AQ16" s="321" t="s">
        <v>4</v>
      </c>
      <c r="AR16" s="321" t="s">
        <v>4</v>
      </c>
      <c r="AS16" s="321" t="s">
        <v>4</v>
      </c>
      <c r="AT16" s="321" t="s">
        <v>4</v>
      </c>
      <c r="AU16" s="321" t="s">
        <v>4</v>
      </c>
      <c r="AV16" s="321" t="s">
        <v>4</v>
      </c>
      <c r="AW16" s="321" t="s">
        <v>4</v>
      </c>
      <c r="AX16" s="321" t="s">
        <v>4</v>
      </c>
      <c r="AY16" s="321" t="s">
        <v>4</v>
      </c>
      <c r="AZ16" s="321" t="s">
        <v>4</v>
      </c>
      <c r="BA16" s="321" t="s">
        <v>4</v>
      </c>
      <c r="BB16" s="321" t="s">
        <v>4</v>
      </c>
      <c r="BC16" s="321" t="s">
        <v>4</v>
      </c>
      <c r="BD16" s="321" t="s">
        <v>4</v>
      </c>
      <c r="BE16" s="321" t="s">
        <v>4</v>
      </c>
      <c r="BF16" s="321" t="s">
        <v>4</v>
      </c>
      <c r="BG16" s="321" t="s">
        <v>4</v>
      </c>
      <c r="BH16" s="321" t="s">
        <v>4</v>
      </c>
      <c r="BI16" s="321" t="s">
        <v>4</v>
      </c>
      <c r="BJ16" s="321" t="s">
        <v>4</v>
      </c>
      <c r="BK16" s="321" t="s">
        <v>4</v>
      </c>
      <c r="BL16" s="321" t="s">
        <v>4</v>
      </c>
      <c r="BM16" s="321" t="s">
        <v>4</v>
      </c>
      <c r="BN16" s="321" t="s">
        <v>4</v>
      </c>
      <c r="BO16" s="321" t="s">
        <v>4</v>
      </c>
      <c r="BP16" s="321" t="s">
        <v>4</v>
      </c>
      <c r="BQ16" s="321" t="s">
        <v>4</v>
      </c>
      <c r="BR16" s="321" t="s">
        <v>4</v>
      </c>
      <c r="BS16" s="321" t="s">
        <v>4</v>
      </c>
      <c r="BT16" s="321" t="s">
        <v>4</v>
      </c>
      <c r="BU16" s="321" t="s">
        <v>4</v>
      </c>
      <c r="BV16" s="321" t="s">
        <v>4</v>
      </c>
      <c r="BW16" s="321" t="s">
        <v>4</v>
      </c>
      <c r="BX16" s="321" t="s">
        <v>4</v>
      </c>
      <c r="BY16" s="321" t="s">
        <v>4</v>
      </c>
      <c r="BZ16" s="321" t="s">
        <v>4</v>
      </c>
      <c r="CA16" s="321" t="s">
        <v>4</v>
      </c>
      <c r="CB16" s="321" t="s">
        <v>4</v>
      </c>
      <c r="CC16" s="321" t="s">
        <v>4</v>
      </c>
      <c r="CD16" s="321" t="s">
        <v>4</v>
      </c>
      <c r="CE16" s="321" t="s">
        <v>4</v>
      </c>
      <c r="CF16" s="321" t="s">
        <v>4</v>
      </c>
      <c r="CG16" s="321" t="s">
        <v>4</v>
      </c>
      <c r="CH16" s="321" t="s">
        <v>4</v>
      </c>
    </row>
    <row r="17" spans="1:86" s="370" customFormat="1" ht="50.1" customHeight="1" x14ac:dyDescent="0.25">
      <c r="A17" s="322">
        <v>2</v>
      </c>
      <c r="B17" s="383" t="s">
        <v>632</v>
      </c>
      <c r="C17" s="321" t="s">
        <v>4</v>
      </c>
      <c r="D17" s="321" t="s">
        <v>4</v>
      </c>
      <c r="E17" s="321" t="s">
        <v>4</v>
      </c>
      <c r="F17" s="321" t="s">
        <v>4</v>
      </c>
      <c r="G17" s="321" t="s">
        <v>4</v>
      </c>
      <c r="H17" s="321" t="s">
        <v>4</v>
      </c>
      <c r="I17" s="321" t="s">
        <v>4</v>
      </c>
      <c r="J17" s="321" t="s">
        <v>4</v>
      </c>
      <c r="K17" s="321" t="s">
        <v>4</v>
      </c>
      <c r="L17" s="321" t="s">
        <v>4</v>
      </c>
      <c r="M17" s="321" t="s">
        <v>4</v>
      </c>
      <c r="N17" s="321" t="s">
        <v>4</v>
      </c>
      <c r="O17" s="321" t="s">
        <v>4</v>
      </c>
      <c r="P17" s="321" t="s">
        <v>4</v>
      </c>
      <c r="Q17" s="321" t="s">
        <v>4</v>
      </c>
      <c r="R17" s="321" t="s">
        <v>4</v>
      </c>
      <c r="S17" s="321" t="s">
        <v>4</v>
      </c>
      <c r="T17" s="321" t="s">
        <v>4</v>
      </c>
      <c r="U17" s="321" t="s">
        <v>4</v>
      </c>
      <c r="V17" s="321" t="s">
        <v>4</v>
      </c>
      <c r="W17" s="321" t="s">
        <v>4</v>
      </c>
      <c r="X17" s="321" t="s">
        <v>4</v>
      </c>
      <c r="Y17" s="321" t="s">
        <v>4</v>
      </c>
      <c r="Z17" s="321" t="s">
        <v>4</v>
      </c>
      <c r="AA17" s="402" t="s">
        <v>4</v>
      </c>
      <c r="AB17" s="402" t="s">
        <v>4</v>
      </c>
      <c r="AC17" s="402">
        <v>158.9</v>
      </c>
      <c r="AD17" s="402">
        <f>AC17</f>
        <v>158.9</v>
      </c>
      <c r="AE17" s="402">
        <f t="shared" ref="AE17:AL23" si="9">AD17</f>
        <v>158.9</v>
      </c>
      <c r="AF17" s="402">
        <f t="shared" si="9"/>
        <v>158.9</v>
      </c>
      <c r="AG17" s="402">
        <f t="shared" si="9"/>
        <v>158.9</v>
      </c>
      <c r="AH17" s="402">
        <f t="shared" si="9"/>
        <v>158.9</v>
      </c>
      <c r="AI17" s="402">
        <f t="shared" si="9"/>
        <v>158.9</v>
      </c>
      <c r="AJ17" s="402">
        <f t="shared" si="9"/>
        <v>158.9</v>
      </c>
      <c r="AK17" s="402">
        <f t="shared" si="9"/>
        <v>158.9</v>
      </c>
      <c r="AL17" s="402">
        <f t="shared" si="9"/>
        <v>158.9</v>
      </c>
      <c r="AM17" s="321" t="s">
        <v>4</v>
      </c>
      <c r="AN17" s="321" t="s">
        <v>4</v>
      </c>
      <c r="AO17" s="321" t="s">
        <v>4</v>
      </c>
      <c r="AP17" s="321" t="s">
        <v>4</v>
      </c>
      <c r="AQ17" s="321" t="s">
        <v>4</v>
      </c>
      <c r="AR17" s="321" t="s">
        <v>4</v>
      </c>
      <c r="AS17" s="321" t="s">
        <v>4</v>
      </c>
      <c r="AT17" s="321" t="s">
        <v>4</v>
      </c>
      <c r="AU17" s="321" t="s">
        <v>4</v>
      </c>
      <c r="AV17" s="321" t="s">
        <v>4</v>
      </c>
      <c r="AW17" s="321" t="s">
        <v>4</v>
      </c>
      <c r="AX17" s="321" t="s">
        <v>4</v>
      </c>
      <c r="AY17" s="321" t="s">
        <v>4</v>
      </c>
      <c r="AZ17" s="321" t="s">
        <v>4</v>
      </c>
      <c r="BA17" s="321" t="s">
        <v>4</v>
      </c>
      <c r="BB17" s="321" t="s">
        <v>4</v>
      </c>
      <c r="BC17" s="321" t="s">
        <v>4</v>
      </c>
      <c r="BD17" s="321" t="s">
        <v>4</v>
      </c>
      <c r="BE17" s="321" t="s">
        <v>4</v>
      </c>
      <c r="BF17" s="321" t="s">
        <v>4</v>
      </c>
      <c r="BG17" s="321" t="s">
        <v>4</v>
      </c>
      <c r="BH17" s="321" t="s">
        <v>4</v>
      </c>
      <c r="BI17" s="321" t="s">
        <v>4</v>
      </c>
      <c r="BJ17" s="321" t="s">
        <v>4</v>
      </c>
      <c r="BK17" s="321" t="s">
        <v>4</v>
      </c>
      <c r="BL17" s="321" t="s">
        <v>4</v>
      </c>
      <c r="BM17" s="321" t="s">
        <v>4</v>
      </c>
      <c r="BN17" s="321" t="s">
        <v>4</v>
      </c>
      <c r="BO17" s="321" t="s">
        <v>4</v>
      </c>
      <c r="BP17" s="321" t="s">
        <v>4</v>
      </c>
      <c r="BQ17" s="321" t="s">
        <v>4</v>
      </c>
      <c r="BR17" s="321" t="s">
        <v>4</v>
      </c>
      <c r="BS17" s="321" t="s">
        <v>4</v>
      </c>
      <c r="BT17" s="321" t="s">
        <v>4</v>
      </c>
      <c r="BU17" s="321" t="s">
        <v>4</v>
      </c>
      <c r="BV17" s="321" t="s">
        <v>4</v>
      </c>
      <c r="BW17" s="321" t="s">
        <v>4</v>
      </c>
      <c r="BX17" s="321" t="s">
        <v>4</v>
      </c>
      <c r="BY17" s="321" t="s">
        <v>4</v>
      </c>
      <c r="BZ17" s="321" t="s">
        <v>4</v>
      </c>
      <c r="CA17" s="321" t="s">
        <v>4</v>
      </c>
      <c r="CB17" s="321" t="s">
        <v>4</v>
      </c>
      <c r="CC17" s="321" t="s">
        <v>4</v>
      </c>
      <c r="CD17" s="321" t="s">
        <v>4</v>
      </c>
      <c r="CE17" s="321" t="s">
        <v>4</v>
      </c>
      <c r="CF17" s="321" t="s">
        <v>4</v>
      </c>
      <c r="CG17" s="321" t="s">
        <v>4</v>
      </c>
      <c r="CH17" s="321" t="s">
        <v>4</v>
      </c>
    </row>
    <row r="18" spans="1:86" s="370" customFormat="1" ht="50.1" customHeight="1" x14ac:dyDescent="0.25">
      <c r="A18" s="322" t="s">
        <v>286</v>
      </c>
      <c r="B18" s="383" t="s">
        <v>633</v>
      </c>
      <c r="C18" s="321" t="s">
        <v>4</v>
      </c>
      <c r="D18" s="321" t="s">
        <v>4</v>
      </c>
      <c r="E18" s="321" t="s">
        <v>4</v>
      </c>
      <c r="F18" s="321" t="s">
        <v>4</v>
      </c>
      <c r="G18" s="321" t="s">
        <v>4</v>
      </c>
      <c r="H18" s="321" t="s">
        <v>4</v>
      </c>
      <c r="I18" s="321" t="s">
        <v>4</v>
      </c>
      <c r="J18" s="321" t="s">
        <v>4</v>
      </c>
      <c r="K18" s="321" t="s">
        <v>4</v>
      </c>
      <c r="L18" s="321" t="s">
        <v>4</v>
      </c>
      <c r="M18" s="321" t="s">
        <v>4</v>
      </c>
      <c r="N18" s="321" t="s">
        <v>4</v>
      </c>
      <c r="O18" s="321" t="s">
        <v>4</v>
      </c>
      <c r="P18" s="321" t="s">
        <v>4</v>
      </c>
      <c r="Q18" s="321" t="s">
        <v>4</v>
      </c>
      <c r="R18" s="321" t="s">
        <v>4</v>
      </c>
      <c r="S18" s="321" t="s">
        <v>4</v>
      </c>
      <c r="T18" s="321" t="s">
        <v>4</v>
      </c>
      <c r="U18" s="321" t="s">
        <v>4</v>
      </c>
      <c r="V18" s="321" t="s">
        <v>4</v>
      </c>
      <c r="W18" s="321" t="s">
        <v>4</v>
      </c>
      <c r="X18" s="321" t="s">
        <v>4</v>
      </c>
      <c r="Y18" s="321" t="s">
        <v>4</v>
      </c>
      <c r="Z18" s="321" t="s">
        <v>4</v>
      </c>
      <c r="AA18" s="402">
        <v>219.2</v>
      </c>
      <c r="AB18" s="402">
        <f>AA18</f>
        <v>219.2</v>
      </c>
      <c r="AC18" s="402">
        <f>AB18</f>
        <v>219.2</v>
      </c>
      <c r="AD18" s="402" t="s">
        <v>4</v>
      </c>
      <c r="AE18" s="402" t="s">
        <v>4</v>
      </c>
      <c r="AF18" s="402" t="s">
        <v>4</v>
      </c>
      <c r="AG18" s="402" t="s">
        <v>4</v>
      </c>
      <c r="AH18" s="402" t="s">
        <v>4</v>
      </c>
      <c r="AI18" s="402" t="s">
        <v>4</v>
      </c>
      <c r="AJ18" s="402" t="s">
        <v>4</v>
      </c>
      <c r="AK18" s="402" t="s">
        <v>4</v>
      </c>
      <c r="AL18" s="402" t="s">
        <v>4</v>
      </c>
      <c r="AM18" s="321" t="s">
        <v>4</v>
      </c>
      <c r="AN18" s="321" t="s">
        <v>4</v>
      </c>
      <c r="AO18" s="321" t="s">
        <v>4</v>
      </c>
      <c r="AP18" s="321" t="s">
        <v>4</v>
      </c>
      <c r="AQ18" s="321" t="s">
        <v>4</v>
      </c>
      <c r="AR18" s="321" t="s">
        <v>4</v>
      </c>
      <c r="AS18" s="321" t="s">
        <v>4</v>
      </c>
      <c r="AT18" s="321" t="s">
        <v>4</v>
      </c>
      <c r="AU18" s="321" t="s">
        <v>4</v>
      </c>
      <c r="AV18" s="321" t="s">
        <v>4</v>
      </c>
      <c r="AW18" s="321" t="s">
        <v>4</v>
      </c>
      <c r="AX18" s="321" t="s">
        <v>4</v>
      </c>
      <c r="AY18" s="321" t="s">
        <v>4</v>
      </c>
      <c r="AZ18" s="321" t="s">
        <v>4</v>
      </c>
      <c r="BA18" s="321" t="s">
        <v>4</v>
      </c>
      <c r="BB18" s="321" t="s">
        <v>4</v>
      </c>
      <c r="BC18" s="321" t="s">
        <v>4</v>
      </c>
      <c r="BD18" s="321" t="s">
        <v>4</v>
      </c>
      <c r="BE18" s="321" t="s">
        <v>4</v>
      </c>
      <c r="BF18" s="321" t="s">
        <v>4</v>
      </c>
      <c r="BG18" s="321" t="s">
        <v>4</v>
      </c>
      <c r="BH18" s="321" t="s">
        <v>4</v>
      </c>
      <c r="BI18" s="321" t="s">
        <v>4</v>
      </c>
      <c r="BJ18" s="321" t="s">
        <v>4</v>
      </c>
      <c r="BK18" s="321" t="s">
        <v>4</v>
      </c>
      <c r="BL18" s="321" t="s">
        <v>4</v>
      </c>
      <c r="BM18" s="321" t="s">
        <v>4</v>
      </c>
      <c r="BN18" s="321" t="s">
        <v>4</v>
      </c>
      <c r="BO18" s="321" t="s">
        <v>4</v>
      </c>
      <c r="BP18" s="321" t="s">
        <v>4</v>
      </c>
      <c r="BQ18" s="321" t="s">
        <v>4</v>
      </c>
      <c r="BR18" s="321" t="s">
        <v>4</v>
      </c>
      <c r="BS18" s="321" t="s">
        <v>4</v>
      </c>
      <c r="BT18" s="321" t="s">
        <v>4</v>
      </c>
      <c r="BU18" s="321" t="s">
        <v>4</v>
      </c>
      <c r="BV18" s="321" t="s">
        <v>4</v>
      </c>
      <c r="BW18" s="321" t="s">
        <v>4</v>
      </c>
      <c r="BX18" s="321" t="s">
        <v>4</v>
      </c>
      <c r="BY18" s="321" t="s">
        <v>4</v>
      </c>
      <c r="BZ18" s="321" t="s">
        <v>4</v>
      </c>
      <c r="CA18" s="321" t="s">
        <v>4</v>
      </c>
      <c r="CB18" s="321" t="s">
        <v>4</v>
      </c>
      <c r="CC18" s="321" t="s">
        <v>4</v>
      </c>
      <c r="CD18" s="321" t="s">
        <v>4</v>
      </c>
      <c r="CE18" s="321" t="s">
        <v>4</v>
      </c>
      <c r="CF18" s="321" t="s">
        <v>4</v>
      </c>
      <c r="CG18" s="321" t="s">
        <v>4</v>
      </c>
      <c r="CH18" s="321" t="s">
        <v>4</v>
      </c>
    </row>
    <row r="19" spans="1:86" s="370" customFormat="1" ht="50.1" customHeight="1" x14ac:dyDescent="0.25">
      <c r="A19" s="320" t="s">
        <v>30</v>
      </c>
      <c r="B19" s="383" t="s">
        <v>634</v>
      </c>
      <c r="C19" s="321" t="s">
        <v>4</v>
      </c>
      <c r="D19" s="321" t="s">
        <v>4</v>
      </c>
      <c r="E19" s="321" t="s">
        <v>4</v>
      </c>
      <c r="F19" s="321" t="s">
        <v>4</v>
      </c>
      <c r="G19" s="321" t="s">
        <v>4</v>
      </c>
      <c r="H19" s="321" t="s">
        <v>4</v>
      </c>
      <c r="I19" s="321" t="s">
        <v>4</v>
      </c>
      <c r="J19" s="321" t="s">
        <v>4</v>
      </c>
      <c r="K19" s="321" t="s">
        <v>4</v>
      </c>
      <c r="L19" s="321" t="s">
        <v>4</v>
      </c>
      <c r="M19" s="321" t="s">
        <v>4</v>
      </c>
      <c r="N19" s="321" t="s">
        <v>4</v>
      </c>
      <c r="O19" s="321" t="s">
        <v>4</v>
      </c>
      <c r="P19" s="321" t="s">
        <v>4</v>
      </c>
      <c r="Q19" s="321" t="s">
        <v>4</v>
      </c>
      <c r="R19" s="321" t="s">
        <v>4</v>
      </c>
      <c r="S19" s="321" t="s">
        <v>4</v>
      </c>
      <c r="T19" s="321" t="s">
        <v>4</v>
      </c>
      <c r="U19" s="321" t="s">
        <v>4</v>
      </c>
      <c r="V19" s="321" t="s">
        <v>4</v>
      </c>
      <c r="W19" s="321" t="s">
        <v>4</v>
      </c>
      <c r="X19" s="321" t="s">
        <v>4</v>
      </c>
      <c r="Y19" s="321" t="s">
        <v>4</v>
      </c>
      <c r="Z19" s="321" t="s">
        <v>4</v>
      </c>
      <c r="AA19" s="402" t="s">
        <v>4</v>
      </c>
      <c r="AB19" s="402" t="s">
        <v>4</v>
      </c>
      <c r="AC19" s="402">
        <v>158.4</v>
      </c>
      <c r="AD19" s="402">
        <f>AC19</f>
        <v>158.4</v>
      </c>
      <c r="AE19" s="402">
        <v>158.5</v>
      </c>
      <c r="AF19" s="402">
        <f t="shared" si="9"/>
        <v>158.5</v>
      </c>
      <c r="AG19" s="402">
        <f t="shared" si="9"/>
        <v>158.5</v>
      </c>
      <c r="AH19" s="402">
        <f t="shared" si="9"/>
        <v>158.5</v>
      </c>
      <c r="AI19" s="402">
        <f t="shared" si="9"/>
        <v>158.5</v>
      </c>
      <c r="AJ19" s="402">
        <f t="shared" si="9"/>
        <v>158.5</v>
      </c>
      <c r="AK19" s="402">
        <f t="shared" si="9"/>
        <v>158.5</v>
      </c>
      <c r="AL19" s="402">
        <f t="shared" si="9"/>
        <v>158.5</v>
      </c>
      <c r="AM19" s="321" t="s">
        <v>4</v>
      </c>
      <c r="AN19" s="321" t="s">
        <v>4</v>
      </c>
      <c r="AO19" s="321" t="s">
        <v>4</v>
      </c>
      <c r="AP19" s="321" t="s">
        <v>4</v>
      </c>
      <c r="AQ19" s="321" t="s">
        <v>4</v>
      </c>
      <c r="AR19" s="321" t="s">
        <v>4</v>
      </c>
      <c r="AS19" s="321" t="s">
        <v>4</v>
      </c>
      <c r="AT19" s="321" t="s">
        <v>4</v>
      </c>
      <c r="AU19" s="321" t="s">
        <v>4</v>
      </c>
      <c r="AV19" s="321" t="s">
        <v>4</v>
      </c>
      <c r="AW19" s="321" t="s">
        <v>4</v>
      </c>
      <c r="AX19" s="321" t="s">
        <v>4</v>
      </c>
      <c r="AY19" s="321" t="s">
        <v>4</v>
      </c>
      <c r="AZ19" s="321" t="s">
        <v>4</v>
      </c>
      <c r="BA19" s="321" t="s">
        <v>4</v>
      </c>
      <c r="BB19" s="321" t="s">
        <v>4</v>
      </c>
      <c r="BC19" s="321" t="s">
        <v>4</v>
      </c>
      <c r="BD19" s="321" t="s">
        <v>4</v>
      </c>
      <c r="BE19" s="321" t="s">
        <v>4</v>
      </c>
      <c r="BF19" s="321" t="s">
        <v>4</v>
      </c>
      <c r="BG19" s="321" t="s">
        <v>4</v>
      </c>
      <c r="BH19" s="321" t="s">
        <v>4</v>
      </c>
      <c r="BI19" s="321" t="s">
        <v>4</v>
      </c>
      <c r="BJ19" s="321" t="s">
        <v>4</v>
      </c>
      <c r="BK19" s="321" t="s">
        <v>4</v>
      </c>
      <c r="BL19" s="321" t="s">
        <v>4</v>
      </c>
      <c r="BM19" s="321" t="s">
        <v>4</v>
      </c>
      <c r="BN19" s="321" t="s">
        <v>4</v>
      </c>
      <c r="BO19" s="321" t="s">
        <v>4</v>
      </c>
      <c r="BP19" s="321" t="s">
        <v>4</v>
      </c>
      <c r="BQ19" s="321" t="s">
        <v>4</v>
      </c>
      <c r="BR19" s="321" t="s">
        <v>4</v>
      </c>
      <c r="BS19" s="321" t="s">
        <v>4</v>
      </c>
      <c r="BT19" s="321" t="s">
        <v>4</v>
      </c>
      <c r="BU19" s="321" t="s">
        <v>4</v>
      </c>
      <c r="BV19" s="321" t="s">
        <v>4</v>
      </c>
      <c r="BW19" s="321" t="s">
        <v>4</v>
      </c>
      <c r="BX19" s="321" t="s">
        <v>4</v>
      </c>
      <c r="BY19" s="321" t="s">
        <v>4</v>
      </c>
      <c r="BZ19" s="321" t="s">
        <v>4</v>
      </c>
      <c r="CA19" s="321" t="s">
        <v>4</v>
      </c>
      <c r="CB19" s="321" t="s">
        <v>4</v>
      </c>
      <c r="CC19" s="321" t="s">
        <v>4</v>
      </c>
      <c r="CD19" s="321" t="s">
        <v>4</v>
      </c>
      <c r="CE19" s="321" t="s">
        <v>4</v>
      </c>
      <c r="CF19" s="321" t="s">
        <v>4</v>
      </c>
      <c r="CG19" s="321" t="s">
        <v>4</v>
      </c>
      <c r="CH19" s="321" t="s">
        <v>4</v>
      </c>
    </row>
    <row r="20" spans="1:86" s="370" customFormat="1" ht="50.1" customHeight="1" x14ac:dyDescent="0.25">
      <c r="A20" s="320" t="s">
        <v>31</v>
      </c>
      <c r="B20" s="383" t="s">
        <v>635</v>
      </c>
      <c r="C20" s="321" t="s">
        <v>4</v>
      </c>
      <c r="D20" s="321" t="s">
        <v>4</v>
      </c>
      <c r="E20" s="321" t="s">
        <v>4</v>
      </c>
      <c r="F20" s="321" t="s">
        <v>4</v>
      </c>
      <c r="G20" s="321" t="s">
        <v>4</v>
      </c>
      <c r="H20" s="321" t="s">
        <v>4</v>
      </c>
      <c r="I20" s="321" t="s">
        <v>4</v>
      </c>
      <c r="J20" s="321" t="s">
        <v>4</v>
      </c>
      <c r="K20" s="321" t="s">
        <v>4</v>
      </c>
      <c r="L20" s="321" t="s">
        <v>4</v>
      </c>
      <c r="M20" s="321" t="s">
        <v>4</v>
      </c>
      <c r="N20" s="321" t="s">
        <v>4</v>
      </c>
      <c r="O20" s="321" t="s">
        <v>4</v>
      </c>
      <c r="P20" s="321" t="s">
        <v>4</v>
      </c>
      <c r="Q20" s="321" t="s">
        <v>4</v>
      </c>
      <c r="R20" s="321" t="s">
        <v>4</v>
      </c>
      <c r="S20" s="321" t="s">
        <v>4</v>
      </c>
      <c r="T20" s="321" t="s">
        <v>4</v>
      </c>
      <c r="U20" s="321" t="s">
        <v>4</v>
      </c>
      <c r="V20" s="321" t="s">
        <v>4</v>
      </c>
      <c r="W20" s="321" t="s">
        <v>4</v>
      </c>
      <c r="X20" s="321" t="s">
        <v>4</v>
      </c>
      <c r="Y20" s="321" t="s">
        <v>4</v>
      </c>
      <c r="Z20" s="321" t="s">
        <v>4</v>
      </c>
      <c r="AA20" s="402">
        <v>219.2</v>
      </c>
      <c r="AB20" s="402">
        <f>AA20</f>
        <v>219.2</v>
      </c>
      <c r="AC20" s="402">
        <f>AB20</f>
        <v>219.2</v>
      </c>
      <c r="AD20" s="402" t="s">
        <v>4</v>
      </c>
      <c r="AE20" s="402" t="s">
        <v>4</v>
      </c>
      <c r="AF20" s="402" t="s">
        <v>4</v>
      </c>
      <c r="AG20" s="402" t="s">
        <v>4</v>
      </c>
      <c r="AH20" s="402" t="s">
        <v>4</v>
      </c>
      <c r="AI20" s="402" t="s">
        <v>4</v>
      </c>
      <c r="AJ20" s="402" t="s">
        <v>4</v>
      </c>
      <c r="AK20" s="402" t="s">
        <v>4</v>
      </c>
      <c r="AL20" s="402" t="s">
        <v>4</v>
      </c>
      <c r="AM20" s="321" t="s">
        <v>4</v>
      </c>
      <c r="AN20" s="321" t="s">
        <v>4</v>
      </c>
      <c r="AO20" s="321" t="s">
        <v>4</v>
      </c>
      <c r="AP20" s="321" t="s">
        <v>4</v>
      </c>
      <c r="AQ20" s="321" t="s">
        <v>4</v>
      </c>
      <c r="AR20" s="321" t="s">
        <v>4</v>
      </c>
      <c r="AS20" s="321" t="s">
        <v>4</v>
      </c>
      <c r="AT20" s="321" t="s">
        <v>4</v>
      </c>
      <c r="AU20" s="321" t="s">
        <v>4</v>
      </c>
      <c r="AV20" s="321" t="s">
        <v>4</v>
      </c>
      <c r="AW20" s="321" t="s">
        <v>4</v>
      </c>
      <c r="AX20" s="321" t="s">
        <v>4</v>
      </c>
      <c r="AY20" s="321" t="s">
        <v>4</v>
      </c>
      <c r="AZ20" s="321" t="s">
        <v>4</v>
      </c>
      <c r="BA20" s="321" t="s">
        <v>4</v>
      </c>
      <c r="BB20" s="321" t="s">
        <v>4</v>
      </c>
      <c r="BC20" s="321" t="s">
        <v>4</v>
      </c>
      <c r="BD20" s="321" t="s">
        <v>4</v>
      </c>
      <c r="BE20" s="321" t="s">
        <v>4</v>
      </c>
      <c r="BF20" s="321" t="s">
        <v>4</v>
      </c>
      <c r="BG20" s="321" t="s">
        <v>4</v>
      </c>
      <c r="BH20" s="321" t="s">
        <v>4</v>
      </c>
      <c r="BI20" s="321" t="s">
        <v>4</v>
      </c>
      <c r="BJ20" s="321" t="s">
        <v>4</v>
      </c>
      <c r="BK20" s="321" t="s">
        <v>4</v>
      </c>
      <c r="BL20" s="321" t="s">
        <v>4</v>
      </c>
      <c r="BM20" s="321" t="s">
        <v>4</v>
      </c>
      <c r="BN20" s="321" t="s">
        <v>4</v>
      </c>
      <c r="BO20" s="321" t="s">
        <v>4</v>
      </c>
      <c r="BP20" s="321" t="s">
        <v>4</v>
      </c>
      <c r="BQ20" s="321" t="s">
        <v>4</v>
      </c>
      <c r="BR20" s="321" t="s">
        <v>4</v>
      </c>
      <c r="BS20" s="321" t="s">
        <v>4</v>
      </c>
      <c r="BT20" s="321" t="s">
        <v>4</v>
      </c>
      <c r="BU20" s="321" t="s">
        <v>4</v>
      </c>
      <c r="BV20" s="321" t="s">
        <v>4</v>
      </c>
      <c r="BW20" s="321" t="s">
        <v>4</v>
      </c>
      <c r="BX20" s="321" t="s">
        <v>4</v>
      </c>
      <c r="BY20" s="321" t="s">
        <v>4</v>
      </c>
      <c r="BZ20" s="321" t="s">
        <v>4</v>
      </c>
      <c r="CA20" s="321" t="s">
        <v>4</v>
      </c>
      <c r="CB20" s="321" t="s">
        <v>4</v>
      </c>
      <c r="CC20" s="321" t="s">
        <v>4</v>
      </c>
      <c r="CD20" s="321" t="s">
        <v>4</v>
      </c>
      <c r="CE20" s="321" t="s">
        <v>4</v>
      </c>
      <c r="CF20" s="321" t="s">
        <v>4</v>
      </c>
      <c r="CG20" s="321" t="s">
        <v>4</v>
      </c>
      <c r="CH20" s="321" t="s">
        <v>4</v>
      </c>
    </row>
    <row r="21" spans="1:86" s="370" customFormat="1" ht="50.1" customHeight="1" x14ac:dyDescent="0.25">
      <c r="A21" s="320" t="s">
        <v>287</v>
      </c>
      <c r="B21" s="383" t="s">
        <v>636</v>
      </c>
      <c r="C21" s="321" t="s">
        <v>4</v>
      </c>
      <c r="D21" s="321" t="s">
        <v>4</v>
      </c>
      <c r="E21" s="321" t="s">
        <v>4</v>
      </c>
      <c r="F21" s="321" t="s">
        <v>4</v>
      </c>
      <c r="G21" s="321" t="s">
        <v>4</v>
      </c>
      <c r="H21" s="321" t="s">
        <v>4</v>
      </c>
      <c r="I21" s="321" t="s">
        <v>4</v>
      </c>
      <c r="J21" s="321" t="s">
        <v>4</v>
      </c>
      <c r="K21" s="321" t="s">
        <v>4</v>
      </c>
      <c r="L21" s="321" t="s">
        <v>4</v>
      </c>
      <c r="M21" s="321" t="s">
        <v>4</v>
      </c>
      <c r="N21" s="321" t="s">
        <v>4</v>
      </c>
      <c r="O21" s="321" t="s">
        <v>4</v>
      </c>
      <c r="P21" s="321" t="s">
        <v>4</v>
      </c>
      <c r="Q21" s="321" t="s">
        <v>4</v>
      </c>
      <c r="R21" s="321" t="s">
        <v>4</v>
      </c>
      <c r="S21" s="321" t="s">
        <v>4</v>
      </c>
      <c r="T21" s="321" t="s">
        <v>4</v>
      </c>
      <c r="U21" s="321" t="s">
        <v>4</v>
      </c>
      <c r="V21" s="321" t="s">
        <v>4</v>
      </c>
      <c r="W21" s="321" t="s">
        <v>4</v>
      </c>
      <c r="X21" s="321" t="s">
        <v>4</v>
      </c>
      <c r="Y21" s="321" t="s">
        <v>4</v>
      </c>
      <c r="Z21" s="321" t="s">
        <v>4</v>
      </c>
      <c r="AA21" s="402" t="s">
        <v>4</v>
      </c>
      <c r="AB21" s="402" t="s">
        <v>4</v>
      </c>
      <c r="AC21" s="402">
        <v>158.9</v>
      </c>
      <c r="AD21" s="402">
        <f>AC21</f>
        <v>158.9</v>
      </c>
      <c r="AE21" s="402">
        <f t="shared" si="9"/>
        <v>158.9</v>
      </c>
      <c r="AF21" s="402">
        <f t="shared" si="9"/>
        <v>158.9</v>
      </c>
      <c r="AG21" s="402">
        <f t="shared" si="9"/>
        <v>158.9</v>
      </c>
      <c r="AH21" s="402">
        <f t="shared" si="9"/>
        <v>158.9</v>
      </c>
      <c r="AI21" s="402">
        <f t="shared" si="9"/>
        <v>158.9</v>
      </c>
      <c r="AJ21" s="402">
        <f t="shared" si="9"/>
        <v>158.9</v>
      </c>
      <c r="AK21" s="402">
        <f t="shared" si="9"/>
        <v>158.9</v>
      </c>
      <c r="AL21" s="402">
        <f t="shared" si="9"/>
        <v>158.9</v>
      </c>
      <c r="AM21" s="321" t="s">
        <v>4</v>
      </c>
      <c r="AN21" s="321" t="s">
        <v>4</v>
      </c>
      <c r="AO21" s="321" t="s">
        <v>4</v>
      </c>
      <c r="AP21" s="321" t="s">
        <v>4</v>
      </c>
      <c r="AQ21" s="321" t="s">
        <v>4</v>
      </c>
      <c r="AR21" s="321" t="s">
        <v>4</v>
      </c>
      <c r="AS21" s="321" t="s">
        <v>4</v>
      </c>
      <c r="AT21" s="321" t="s">
        <v>4</v>
      </c>
      <c r="AU21" s="321" t="s">
        <v>4</v>
      </c>
      <c r="AV21" s="321" t="s">
        <v>4</v>
      </c>
      <c r="AW21" s="321" t="s">
        <v>4</v>
      </c>
      <c r="AX21" s="321" t="s">
        <v>4</v>
      </c>
      <c r="AY21" s="321" t="s">
        <v>4</v>
      </c>
      <c r="AZ21" s="321" t="s">
        <v>4</v>
      </c>
      <c r="BA21" s="321" t="s">
        <v>4</v>
      </c>
      <c r="BB21" s="321" t="s">
        <v>4</v>
      </c>
      <c r="BC21" s="321" t="s">
        <v>4</v>
      </c>
      <c r="BD21" s="321" t="s">
        <v>4</v>
      </c>
      <c r="BE21" s="321" t="s">
        <v>4</v>
      </c>
      <c r="BF21" s="321" t="s">
        <v>4</v>
      </c>
      <c r="BG21" s="321" t="s">
        <v>4</v>
      </c>
      <c r="BH21" s="321" t="s">
        <v>4</v>
      </c>
      <c r="BI21" s="321" t="s">
        <v>4</v>
      </c>
      <c r="BJ21" s="321" t="s">
        <v>4</v>
      </c>
      <c r="BK21" s="321" t="s">
        <v>4</v>
      </c>
      <c r="BL21" s="321" t="s">
        <v>4</v>
      </c>
      <c r="BM21" s="321" t="s">
        <v>4</v>
      </c>
      <c r="BN21" s="321" t="s">
        <v>4</v>
      </c>
      <c r="BO21" s="321" t="s">
        <v>4</v>
      </c>
      <c r="BP21" s="321" t="s">
        <v>4</v>
      </c>
      <c r="BQ21" s="321" t="s">
        <v>4</v>
      </c>
      <c r="BR21" s="321" t="s">
        <v>4</v>
      </c>
      <c r="BS21" s="321" t="s">
        <v>4</v>
      </c>
      <c r="BT21" s="321" t="s">
        <v>4</v>
      </c>
      <c r="BU21" s="321" t="s">
        <v>4</v>
      </c>
      <c r="BV21" s="321" t="s">
        <v>4</v>
      </c>
      <c r="BW21" s="321" t="s">
        <v>4</v>
      </c>
      <c r="BX21" s="321" t="s">
        <v>4</v>
      </c>
      <c r="BY21" s="321" t="s">
        <v>4</v>
      </c>
      <c r="BZ21" s="321" t="s">
        <v>4</v>
      </c>
      <c r="CA21" s="321" t="s">
        <v>4</v>
      </c>
      <c r="CB21" s="321" t="s">
        <v>4</v>
      </c>
      <c r="CC21" s="321" t="s">
        <v>4</v>
      </c>
      <c r="CD21" s="321" t="s">
        <v>4</v>
      </c>
      <c r="CE21" s="321" t="s">
        <v>4</v>
      </c>
      <c r="CF21" s="321" t="s">
        <v>4</v>
      </c>
      <c r="CG21" s="321" t="s">
        <v>4</v>
      </c>
      <c r="CH21" s="321" t="s">
        <v>4</v>
      </c>
    </row>
    <row r="22" spans="1:86" s="370" customFormat="1" ht="50.1" customHeight="1" x14ac:dyDescent="0.25">
      <c r="A22" s="320" t="s">
        <v>288</v>
      </c>
      <c r="B22" s="383" t="s">
        <v>637</v>
      </c>
      <c r="C22" s="321" t="s">
        <v>4</v>
      </c>
      <c r="D22" s="321" t="s">
        <v>4</v>
      </c>
      <c r="E22" s="321" t="s">
        <v>4</v>
      </c>
      <c r="F22" s="321" t="s">
        <v>4</v>
      </c>
      <c r="G22" s="321" t="s">
        <v>4</v>
      </c>
      <c r="H22" s="321" t="s">
        <v>4</v>
      </c>
      <c r="I22" s="321" t="s">
        <v>4</v>
      </c>
      <c r="J22" s="321" t="s">
        <v>4</v>
      </c>
      <c r="K22" s="321" t="s">
        <v>4</v>
      </c>
      <c r="L22" s="321" t="s">
        <v>4</v>
      </c>
      <c r="M22" s="321" t="s">
        <v>4</v>
      </c>
      <c r="N22" s="321" t="s">
        <v>4</v>
      </c>
      <c r="O22" s="321" t="s">
        <v>4</v>
      </c>
      <c r="P22" s="321" t="s">
        <v>4</v>
      </c>
      <c r="Q22" s="321" t="s">
        <v>4</v>
      </c>
      <c r="R22" s="321" t="s">
        <v>4</v>
      </c>
      <c r="S22" s="321" t="s">
        <v>4</v>
      </c>
      <c r="T22" s="321" t="s">
        <v>4</v>
      </c>
      <c r="U22" s="321" t="s">
        <v>4</v>
      </c>
      <c r="V22" s="321" t="s">
        <v>4</v>
      </c>
      <c r="W22" s="321" t="s">
        <v>4</v>
      </c>
      <c r="X22" s="321" t="s">
        <v>4</v>
      </c>
      <c r="Y22" s="321" t="s">
        <v>4</v>
      </c>
      <c r="Z22" s="321" t="s">
        <v>4</v>
      </c>
      <c r="AA22" s="402">
        <v>220.3</v>
      </c>
      <c r="AB22" s="402">
        <f>AA22</f>
        <v>220.3</v>
      </c>
      <c r="AC22" s="402">
        <f>AB22</f>
        <v>220.3</v>
      </c>
      <c r="AD22" s="402" t="s">
        <v>4</v>
      </c>
      <c r="AE22" s="402" t="s">
        <v>4</v>
      </c>
      <c r="AF22" s="402" t="s">
        <v>4</v>
      </c>
      <c r="AG22" s="402" t="s">
        <v>4</v>
      </c>
      <c r="AH22" s="402" t="s">
        <v>4</v>
      </c>
      <c r="AI22" s="402" t="s">
        <v>4</v>
      </c>
      <c r="AJ22" s="402" t="s">
        <v>4</v>
      </c>
      <c r="AK22" s="402" t="s">
        <v>4</v>
      </c>
      <c r="AL22" s="402" t="s">
        <v>4</v>
      </c>
      <c r="AM22" s="321" t="s">
        <v>4</v>
      </c>
      <c r="AN22" s="321" t="s">
        <v>4</v>
      </c>
      <c r="AO22" s="321" t="s">
        <v>4</v>
      </c>
      <c r="AP22" s="321" t="s">
        <v>4</v>
      </c>
      <c r="AQ22" s="321" t="s">
        <v>4</v>
      </c>
      <c r="AR22" s="321" t="s">
        <v>4</v>
      </c>
      <c r="AS22" s="321" t="s">
        <v>4</v>
      </c>
      <c r="AT22" s="321" t="s">
        <v>4</v>
      </c>
      <c r="AU22" s="321" t="s">
        <v>4</v>
      </c>
      <c r="AV22" s="321" t="s">
        <v>4</v>
      </c>
      <c r="AW22" s="321" t="s">
        <v>4</v>
      </c>
      <c r="AX22" s="321" t="s">
        <v>4</v>
      </c>
      <c r="AY22" s="321" t="s">
        <v>4</v>
      </c>
      <c r="AZ22" s="321" t="s">
        <v>4</v>
      </c>
      <c r="BA22" s="321" t="s">
        <v>4</v>
      </c>
      <c r="BB22" s="321" t="s">
        <v>4</v>
      </c>
      <c r="BC22" s="321" t="s">
        <v>4</v>
      </c>
      <c r="BD22" s="321" t="s">
        <v>4</v>
      </c>
      <c r="BE22" s="321" t="s">
        <v>4</v>
      </c>
      <c r="BF22" s="321" t="s">
        <v>4</v>
      </c>
      <c r="BG22" s="321" t="s">
        <v>4</v>
      </c>
      <c r="BH22" s="321" t="s">
        <v>4</v>
      </c>
      <c r="BI22" s="321" t="s">
        <v>4</v>
      </c>
      <c r="BJ22" s="321" t="s">
        <v>4</v>
      </c>
      <c r="BK22" s="321" t="s">
        <v>4</v>
      </c>
      <c r="BL22" s="321" t="s">
        <v>4</v>
      </c>
      <c r="BM22" s="321" t="s">
        <v>4</v>
      </c>
      <c r="BN22" s="321" t="s">
        <v>4</v>
      </c>
      <c r="BO22" s="321" t="s">
        <v>4</v>
      </c>
      <c r="BP22" s="321" t="s">
        <v>4</v>
      </c>
      <c r="BQ22" s="321" t="s">
        <v>4</v>
      </c>
      <c r="BR22" s="321" t="s">
        <v>4</v>
      </c>
      <c r="BS22" s="321" t="s">
        <v>4</v>
      </c>
      <c r="BT22" s="321" t="s">
        <v>4</v>
      </c>
      <c r="BU22" s="321" t="s">
        <v>4</v>
      </c>
      <c r="BV22" s="321" t="s">
        <v>4</v>
      </c>
      <c r="BW22" s="321" t="s">
        <v>4</v>
      </c>
      <c r="BX22" s="321" t="s">
        <v>4</v>
      </c>
      <c r="BY22" s="321" t="s">
        <v>4</v>
      </c>
      <c r="BZ22" s="321" t="s">
        <v>4</v>
      </c>
      <c r="CA22" s="321" t="s">
        <v>4</v>
      </c>
      <c r="CB22" s="321" t="s">
        <v>4</v>
      </c>
      <c r="CC22" s="321" t="s">
        <v>4</v>
      </c>
      <c r="CD22" s="321" t="s">
        <v>4</v>
      </c>
      <c r="CE22" s="321" t="s">
        <v>4</v>
      </c>
      <c r="CF22" s="321" t="s">
        <v>4</v>
      </c>
      <c r="CG22" s="321" t="s">
        <v>4</v>
      </c>
      <c r="CH22" s="321" t="s">
        <v>4</v>
      </c>
    </row>
    <row r="23" spans="1:86" s="370" customFormat="1" ht="50.1" customHeight="1" x14ac:dyDescent="0.25">
      <c r="A23" s="320" t="s">
        <v>289</v>
      </c>
      <c r="B23" s="383" t="s">
        <v>638</v>
      </c>
      <c r="C23" s="321" t="s">
        <v>4</v>
      </c>
      <c r="D23" s="321" t="s">
        <v>4</v>
      </c>
      <c r="E23" s="321" t="s">
        <v>4</v>
      </c>
      <c r="F23" s="321" t="s">
        <v>4</v>
      </c>
      <c r="G23" s="321" t="s">
        <v>4</v>
      </c>
      <c r="H23" s="321" t="s">
        <v>4</v>
      </c>
      <c r="I23" s="321" t="s">
        <v>4</v>
      </c>
      <c r="J23" s="321" t="s">
        <v>4</v>
      </c>
      <c r="K23" s="321" t="s">
        <v>4</v>
      </c>
      <c r="L23" s="321" t="s">
        <v>4</v>
      </c>
      <c r="M23" s="321" t="s">
        <v>4</v>
      </c>
      <c r="N23" s="321" t="s">
        <v>4</v>
      </c>
      <c r="O23" s="321" t="s">
        <v>4</v>
      </c>
      <c r="P23" s="321" t="s">
        <v>4</v>
      </c>
      <c r="Q23" s="321" t="s">
        <v>4</v>
      </c>
      <c r="R23" s="321" t="s">
        <v>4</v>
      </c>
      <c r="S23" s="321" t="s">
        <v>4</v>
      </c>
      <c r="T23" s="321" t="s">
        <v>4</v>
      </c>
      <c r="U23" s="321" t="s">
        <v>4</v>
      </c>
      <c r="V23" s="321" t="s">
        <v>4</v>
      </c>
      <c r="W23" s="321" t="s">
        <v>4</v>
      </c>
      <c r="X23" s="321" t="s">
        <v>4</v>
      </c>
      <c r="Y23" s="321" t="s">
        <v>4</v>
      </c>
      <c r="Z23" s="321" t="s">
        <v>4</v>
      </c>
      <c r="AA23" s="402" t="s">
        <v>4</v>
      </c>
      <c r="AB23" s="402" t="s">
        <v>4</v>
      </c>
      <c r="AC23" s="402">
        <v>159.1</v>
      </c>
      <c r="AD23" s="402">
        <f>AC23</f>
        <v>159.1</v>
      </c>
      <c r="AE23" s="402">
        <f t="shared" si="9"/>
        <v>159.1</v>
      </c>
      <c r="AF23" s="402">
        <f t="shared" si="9"/>
        <v>159.1</v>
      </c>
      <c r="AG23" s="402">
        <f t="shared" si="9"/>
        <v>159.1</v>
      </c>
      <c r="AH23" s="402">
        <f t="shared" si="9"/>
        <v>159.1</v>
      </c>
      <c r="AI23" s="402">
        <f t="shared" si="9"/>
        <v>159.1</v>
      </c>
      <c r="AJ23" s="402">
        <f t="shared" si="9"/>
        <v>159.1</v>
      </c>
      <c r="AK23" s="402">
        <f t="shared" si="9"/>
        <v>159.1</v>
      </c>
      <c r="AL23" s="402">
        <f t="shared" si="9"/>
        <v>159.1</v>
      </c>
      <c r="AM23" s="321" t="s">
        <v>4</v>
      </c>
      <c r="AN23" s="321" t="s">
        <v>4</v>
      </c>
      <c r="AO23" s="321" t="s">
        <v>4</v>
      </c>
      <c r="AP23" s="321" t="s">
        <v>4</v>
      </c>
      <c r="AQ23" s="321" t="s">
        <v>4</v>
      </c>
      <c r="AR23" s="321" t="s">
        <v>4</v>
      </c>
      <c r="AS23" s="321" t="s">
        <v>4</v>
      </c>
      <c r="AT23" s="321" t="s">
        <v>4</v>
      </c>
      <c r="AU23" s="321" t="s">
        <v>4</v>
      </c>
      <c r="AV23" s="321" t="s">
        <v>4</v>
      </c>
      <c r="AW23" s="321" t="s">
        <v>4</v>
      </c>
      <c r="AX23" s="321" t="s">
        <v>4</v>
      </c>
      <c r="AY23" s="321" t="s">
        <v>4</v>
      </c>
      <c r="AZ23" s="321" t="s">
        <v>4</v>
      </c>
      <c r="BA23" s="321" t="s">
        <v>4</v>
      </c>
      <c r="BB23" s="321" t="s">
        <v>4</v>
      </c>
      <c r="BC23" s="321" t="s">
        <v>4</v>
      </c>
      <c r="BD23" s="321" t="s">
        <v>4</v>
      </c>
      <c r="BE23" s="321" t="s">
        <v>4</v>
      </c>
      <c r="BF23" s="321" t="s">
        <v>4</v>
      </c>
      <c r="BG23" s="321" t="s">
        <v>4</v>
      </c>
      <c r="BH23" s="321" t="s">
        <v>4</v>
      </c>
      <c r="BI23" s="321" t="s">
        <v>4</v>
      </c>
      <c r="BJ23" s="321" t="s">
        <v>4</v>
      </c>
      <c r="BK23" s="321" t="s">
        <v>4</v>
      </c>
      <c r="BL23" s="321" t="s">
        <v>4</v>
      </c>
      <c r="BM23" s="321" t="s">
        <v>4</v>
      </c>
      <c r="BN23" s="321" t="s">
        <v>4</v>
      </c>
      <c r="BO23" s="321" t="s">
        <v>4</v>
      </c>
      <c r="BP23" s="321" t="s">
        <v>4</v>
      </c>
      <c r="BQ23" s="321" t="s">
        <v>4</v>
      </c>
      <c r="BR23" s="321" t="s">
        <v>4</v>
      </c>
      <c r="BS23" s="321" t="s">
        <v>4</v>
      </c>
      <c r="BT23" s="321" t="s">
        <v>4</v>
      </c>
      <c r="BU23" s="321" t="s">
        <v>4</v>
      </c>
      <c r="BV23" s="321" t="s">
        <v>4</v>
      </c>
      <c r="BW23" s="321" t="s">
        <v>4</v>
      </c>
      <c r="BX23" s="321" t="s">
        <v>4</v>
      </c>
      <c r="BY23" s="321" t="s">
        <v>4</v>
      </c>
      <c r="BZ23" s="321" t="s">
        <v>4</v>
      </c>
      <c r="CA23" s="321" t="s">
        <v>4</v>
      </c>
      <c r="CB23" s="321" t="s">
        <v>4</v>
      </c>
      <c r="CC23" s="321" t="s">
        <v>4</v>
      </c>
      <c r="CD23" s="321" t="s">
        <v>4</v>
      </c>
      <c r="CE23" s="321" t="s">
        <v>4</v>
      </c>
      <c r="CF23" s="321" t="s">
        <v>4</v>
      </c>
      <c r="CG23" s="321" t="s">
        <v>4</v>
      </c>
      <c r="CH23" s="321" t="s">
        <v>4</v>
      </c>
    </row>
    <row r="24" spans="1:86" s="370" customFormat="1" ht="72" customHeight="1" x14ac:dyDescent="0.25">
      <c r="A24" s="320" t="s">
        <v>290</v>
      </c>
      <c r="B24" s="396" t="s">
        <v>629</v>
      </c>
      <c r="C24" s="321" t="s">
        <v>4</v>
      </c>
      <c r="D24" s="321" t="s">
        <v>4</v>
      </c>
      <c r="E24" s="321" t="s">
        <v>4</v>
      </c>
      <c r="F24" s="321" t="s">
        <v>4</v>
      </c>
      <c r="G24" s="321" t="s">
        <v>4</v>
      </c>
      <c r="H24" s="321" t="s">
        <v>4</v>
      </c>
      <c r="I24" s="321" t="s">
        <v>4</v>
      </c>
      <c r="J24" s="321" t="s">
        <v>4</v>
      </c>
      <c r="K24" s="321" t="s">
        <v>4</v>
      </c>
      <c r="L24" s="321" t="s">
        <v>4</v>
      </c>
      <c r="M24" s="321" t="s">
        <v>4</v>
      </c>
      <c r="N24" s="321" t="s">
        <v>4</v>
      </c>
      <c r="O24" s="321" t="s">
        <v>4</v>
      </c>
      <c r="P24" s="321" t="s">
        <v>4</v>
      </c>
      <c r="Q24" s="321" t="s">
        <v>4</v>
      </c>
      <c r="R24" s="321" t="s">
        <v>4</v>
      </c>
      <c r="S24" s="321" t="s">
        <v>4</v>
      </c>
      <c r="T24" s="321" t="s">
        <v>4</v>
      </c>
      <c r="U24" s="321" t="s">
        <v>4</v>
      </c>
      <c r="V24" s="321" t="s">
        <v>4</v>
      </c>
      <c r="W24" s="321" t="s">
        <v>4</v>
      </c>
      <c r="X24" s="321" t="s">
        <v>4</v>
      </c>
      <c r="Y24" s="321" t="s">
        <v>4</v>
      </c>
      <c r="Z24" s="321" t="s">
        <v>4</v>
      </c>
      <c r="AA24" s="321" t="s">
        <v>4</v>
      </c>
      <c r="AB24" s="321" t="s">
        <v>4</v>
      </c>
      <c r="AC24" s="321" t="s">
        <v>4</v>
      </c>
      <c r="AD24" s="321" t="s">
        <v>4</v>
      </c>
      <c r="AE24" s="321" t="s">
        <v>4</v>
      </c>
      <c r="AF24" s="321" t="s">
        <v>4</v>
      </c>
      <c r="AG24" s="321" t="s">
        <v>4</v>
      </c>
      <c r="AH24" s="321" t="s">
        <v>4</v>
      </c>
      <c r="AI24" s="321" t="s">
        <v>4</v>
      </c>
      <c r="AJ24" s="321" t="s">
        <v>4</v>
      </c>
      <c r="AK24" s="321" t="s">
        <v>4</v>
      </c>
      <c r="AL24" s="321" t="s">
        <v>4</v>
      </c>
      <c r="AM24" s="321">
        <f>BK24/0.2997268/1000</f>
        <v>2.0828968247083677</v>
      </c>
      <c r="AN24" s="321">
        <f t="shared" ref="AN24:AO24" si="10">BL24/0.2997268/1000</f>
        <v>2.0828968247083677</v>
      </c>
      <c r="AO24" s="321">
        <f t="shared" si="10"/>
        <v>2.0828968247083677</v>
      </c>
      <c r="AP24" s="321">
        <f>BN24/0.26979/1000</f>
        <v>1.9837651506727458</v>
      </c>
      <c r="AQ24" s="321">
        <f>BO24/0.25391/1000</f>
        <v>1.6431018864952145</v>
      </c>
      <c r="AR24" s="321">
        <f t="shared" ref="AR24:AX24" si="11">BP24/0.25391/1000</f>
        <v>1.6431018864952145</v>
      </c>
      <c r="AS24" s="321">
        <f t="shared" si="11"/>
        <v>1.6431018864952145</v>
      </c>
      <c r="AT24" s="321">
        <f t="shared" si="11"/>
        <v>1.6431018864952145</v>
      </c>
      <c r="AU24" s="321">
        <f t="shared" si="11"/>
        <v>1.6431018864952145</v>
      </c>
      <c r="AV24" s="321">
        <f t="shared" si="11"/>
        <v>1.6431018864952145</v>
      </c>
      <c r="AW24" s="321">
        <f t="shared" si="11"/>
        <v>1.6431018864952145</v>
      </c>
      <c r="AX24" s="321">
        <f t="shared" si="11"/>
        <v>1.6431018864952145</v>
      </c>
      <c r="AY24" s="321">
        <f t="shared" ref="AY24" si="12">BW24/0.2997268/1000</f>
        <v>1.1864137607981668</v>
      </c>
      <c r="AZ24" s="321">
        <f t="shared" ref="AZ24" si="13">BX24/0.2997268/1000</f>
        <v>1.1864137607981668</v>
      </c>
      <c r="BA24" s="321">
        <f t="shared" ref="BA24" si="14">BY24/0.2997268/1000</f>
        <v>1.1864137607981668</v>
      </c>
      <c r="BB24" s="321">
        <f>BZ24/0.26979/1000</f>
        <v>1.2591274695133252</v>
      </c>
      <c r="BC24" s="321">
        <f>CA24/0.25391/1000</f>
        <v>1.1732503643023118</v>
      </c>
      <c r="BD24" s="321">
        <f t="shared" ref="BD24:BJ24" si="15">CB24/0.25391/1000</f>
        <v>1.1732503643023118</v>
      </c>
      <c r="BE24" s="321">
        <f t="shared" si="15"/>
        <v>1.1732503643023118</v>
      </c>
      <c r="BF24" s="321">
        <f t="shared" si="15"/>
        <v>1.1732503643023118</v>
      </c>
      <c r="BG24" s="321">
        <f t="shared" si="15"/>
        <v>1.1732503643023118</v>
      </c>
      <c r="BH24" s="321">
        <f t="shared" si="15"/>
        <v>1.1732503643023118</v>
      </c>
      <c r="BI24" s="321">
        <f t="shared" si="15"/>
        <v>1.1732503643023118</v>
      </c>
      <c r="BJ24" s="321">
        <f t="shared" si="15"/>
        <v>1.1732503643023118</v>
      </c>
      <c r="BK24" s="323">
        <v>624.29999999999995</v>
      </c>
      <c r="BL24" s="323">
        <v>624.29999999999995</v>
      </c>
      <c r="BM24" s="323">
        <v>624.29999999999995</v>
      </c>
      <c r="BN24" s="323">
        <v>535.20000000000005</v>
      </c>
      <c r="BO24" s="323">
        <v>417.2</v>
      </c>
      <c r="BP24" s="323">
        <v>417.2</v>
      </c>
      <c r="BQ24" s="323">
        <v>417.2</v>
      </c>
      <c r="BR24" s="323">
        <v>417.2</v>
      </c>
      <c r="BS24" s="323">
        <v>417.2</v>
      </c>
      <c r="BT24" s="323">
        <v>417.2</v>
      </c>
      <c r="BU24" s="323">
        <v>417.2</v>
      </c>
      <c r="BV24" s="323">
        <v>417.2</v>
      </c>
      <c r="BW24" s="323">
        <v>355.6</v>
      </c>
      <c r="BX24" s="323">
        <v>355.6</v>
      </c>
      <c r="BY24" s="323">
        <v>355.6</v>
      </c>
      <c r="BZ24" s="323">
        <v>339.7</v>
      </c>
      <c r="CA24" s="323">
        <v>297.89999999999998</v>
      </c>
      <c r="CB24" s="323">
        <v>297.89999999999998</v>
      </c>
      <c r="CC24" s="323">
        <v>297.89999999999998</v>
      </c>
      <c r="CD24" s="323">
        <v>297.89999999999998</v>
      </c>
      <c r="CE24" s="323">
        <v>297.89999999999998</v>
      </c>
      <c r="CF24" s="323">
        <v>297.89999999999998</v>
      </c>
      <c r="CG24" s="323">
        <v>297.89999999999998</v>
      </c>
      <c r="CH24" s="323">
        <v>297.89999999999998</v>
      </c>
    </row>
    <row r="25" spans="1:86" s="370" customFormat="1" ht="64.5" customHeight="1" x14ac:dyDescent="0.25">
      <c r="A25" s="320" t="s">
        <v>291</v>
      </c>
      <c r="B25" s="396" t="s">
        <v>804</v>
      </c>
      <c r="C25" s="321" t="s">
        <v>4</v>
      </c>
      <c r="D25" s="321" t="s">
        <v>4</v>
      </c>
      <c r="E25" s="321" t="s">
        <v>4</v>
      </c>
      <c r="F25" s="321" t="s">
        <v>4</v>
      </c>
      <c r="G25" s="321" t="s">
        <v>4</v>
      </c>
      <c r="H25" s="321" t="s">
        <v>4</v>
      </c>
      <c r="I25" s="321" t="s">
        <v>4</v>
      </c>
      <c r="J25" s="321" t="s">
        <v>4</v>
      </c>
      <c r="K25" s="321" t="s">
        <v>4</v>
      </c>
      <c r="L25" s="321" t="s">
        <v>4</v>
      </c>
      <c r="M25" s="321" t="s">
        <v>4</v>
      </c>
      <c r="N25" s="321" t="s">
        <v>4</v>
      </c>
      <c r="O25" s="321" t="s">
        <v>4</v>
      </c>
      <c r="P25" s="321" t="s">
        <v>4</v>
      </c>
      <c r="Q25" s="321" t="s">
        <v>4</v>
      </c>
      <c r="R25" s="321" t="s">
        <v>4</v>
      </c>
      <c r="S25" s="321" t="s">
        <v>4</v>
      </c>
      <c r="T25" s="321" t="s">
        <v>4</v>
      </c>
      <c r="U25" s="321" t="s">
        <v>4</v>
      </c>
      <c r="V25" s="321" t="s">
        <v>4</v>
      </c>
      <c r="W25" s="321" t="s">
        <v>4</v>
      </c>
      <c r="X25" s="321" t="s">
        <v>4</v>
      </c>
      <c r="Y25" s="321" t="s">
        <v>4</v>
      </c>
      <c r="Z25" s="321" t="s">
        <v>4</v>
      </c>
      <c r="AA25" s="321" t="s">
        <v>4</v>
      </c>
      <c r="AB25" s="321" t="s">
        <v>4</v>
      </c>
      <c r="AC25" s="321" t="s">
        <v>4</v>
      </c>
      <c r="AD25" s="321" t="s">
        <v>4</v>
      </c>
      <c r="AE25" s="321" t="s">
        <v>4</v>
      </c>
      <c r="AF25" s="321" t="s">
        <v>4</v>
      </c>
      <c r="AG25" s="321" t="s">
        <v>4</v>
      </c>
      <c r="AH25" s="321" t="s">
        <v>4</v>
      </c>
      <c r="AI25" s="321" t="s">
        <v>4</v>
      </c>
      <c r="AJ25" s="321" t="s">
        <v>4</v>
      </c>
      <c r="AK25" s="321" t="s">
        <v>4</v>
      </c>
      <c r="AL25" s="321" t="s">
        <v>4</v>
      </c>
      <c r="AM25" s="321">
        <f>BK25/0.053496/1000</f>
        <v>2.2039030955585464</v>
      </c>
      <c r="AN25" s="321">
        <f t="shared" ref="AN25:AO25" si="16">BL25/0.053496/1000</f>
        <v>2.2039030955585464</v>
      </c>
      <c r="AO25" s="321">
        <f t="shared" si="16"/>
        <v>2.2039030955585464</v>
      </c>
      <c r="AP25" s="321">
        <f>BN25/0.02808/1000</f>
        <v>1.6737891737891737</v>
      </c>
      <c r="AQ25" s="321">
        <f>BO25/0.03024/1000</f>
        <v>1.1541005291005291</v>
      </c>
      <c r="AR25" s="321">
        <f t="shared" ref="AR25:AX25" si="17">BP25/0.03024/1000</f>
        <v>1.1541005291005291</v>
      </c>
      <c r="AS25" s="321">
        <f t="shared" si="17"/>
        <v>1.1541005291005291</v>
      </c>
      <c r="AT25" s="321">
        <f t="shared" si="17"/>
        <v>1.1541005291005291</v>
      </c>
      <c r="AU25" s="321">
        <f t="shared" si="17"/>
        <v>1.1541005291005291</v>
      </c>
      <c r="AV25" s="321">
        <f t="shared" si="17"/>
        <v>1.1541005291005291</v>
      </c>
      <c r="AW25" s="321">
        <f t="shared" si="17"/>
        <v>1.1541005291005291</v>
      </c>
      <c r="AX25" s="321">
        <f t="shared" si="17"/>
        <v>1.1541005291005291</v>
      </c>
      <c r="AY25" s="321">
        <f t="shared" ref="AY25" si="18">BW25/0.053496/1000</f>
        <v>0.89539404815313284</v>
      </c>
      <c r="AZ25" s="321">
        <f t="shared" ref="AZ25" si="19">BX25/0.053496/1000</f>
        <v>0.89539404815313284</v>
      </c>
      <c r="BA25" s="321">
        <f t="shared" ref="BA25" si="20">BY25/0.053496/1000</f>
        <v>0.89539404815313284</v>
      </c>
      <c r="BB25" s="321">
        <f>BZ25/0.02808/1000</f>
        <v>1.0434472934472936</v>
      </c>
      <c r="BC25" s="321">
        <f>CA25/0.03024/1000</f>
        <v>1.0416666666666667</v>
      </c>
      <c r="BD25" s="321">
        <f t="shared" ref="BD25:BJ25" si="21">CB25/0.03024/1000</f>
        <v>1.0416666666666667</v>
      </c>
      <c r="BE25" s="321">
        <f t="shared" si="21"/>
        <v>1.0416666666666667</v>
      </c>
      <c r="BF25" s="321">
        <f t="shared" si="21"/>
        <v>1.0416666666666667</v>
      </c>
      <c r="BG25" s="321">
        <f t="shared" si="21"/>
        <v>1.0416666666666667</v>
      </c>
      <c r="BH25" s="321">
        <f t="shared" si="21"/>
        <v>1.0416666666666667</v>
      </c>
      <c r="BI25" s="321">
        <f t="shared" si="21"/>
        <v>1.0416666666666667</v>
      </c>
      <c r="BJ25" s="321">
        <f t="shared" si="21"/>
        <v>1.0416666666666667</v>
      </c>
      <c r="BK25" s="323">
        <v>117.9</v>
      </c>
      <c r="BL25" s="323">
        <f>BK25</f>
        <v>117.9</v>
      </c>
      <c r="BM25" s="323">
        <f>BL25</f>
        <v>117.9</v>
      </c>
      <c r="BN25" s="323">
        <v>47</v>
      </c>
      <c r="BO25" s="323">
        <v>34.9</v>
      </c>
      <c r="BP25" s="323">
        <f>BO25</f>
        <v>34.9</v>
      </c>
      <c r="BQ25" s="323">
        <f t="shared" ref="BQ25:BV25" si="22">BP25</f>
        <v>34.9</v>
      </c>
      <c r="BR25" s="323">
        <f t="shared" si="22"/>
        <v>34.9</v>
      </c>
      <c r="BS25" s="323">
        <f t="shared" si="22"/>
        <v>34.9</v>
      </c>
      <c r="BT25" s="323">
        <f t="shared" si="22"/>
        <v>34.9</v>
      </c>
      <c r="BU25" s="323">
        <f t="shared" si="22"/>
        <v>34.9</v>
      </c>
      <c r="BV25" s="323">
        <f t="shared" si="22"/>
        <v>34.9</v>
      </c>
      <c r="BW25" s="323">
        <v>47.9</v>
      </c>
      <c r="BX25" s="323">
        <f>BW25</f>
        <v>47.9</v>
      </c>
      <c r="BY25" s="323">
        <f>BX25</f>
        <v>47.9</v>
      </c>
      <c r="BZ25" s="323">
        <v>29.3</v>
      </c>
      <c r="CA25" s="323">
        <v>31.5</v>
      </c>
      <c r="CB25" s="323">
        <f>CA25</f>
        <v>31.5</v>
      </c>
      <c r="CC25" s="323">
        <f t="shared" ref="CC25:CH25" si="23">CB25</f>
        <v>31.5</v>
      </c>
      <c r="CD25" s="323">
        <f t="shared" si="23"/>
        <v>31.5</v>
      </c>
      <c r="CE25" s="323">
        <f t="shared" si="23"/>
        <v>31.5</v>
      </c>
      <c r="CF25" s="323">
        <f t="shared" si="23"/>
        <v>31.5</v>
      </c>
      <c r="CG25" s="323">
        <f t="shared" si="23"/>
        <v>31.5</v>
      </c>
      <c r="CH25" s="323">
        <f t="shared" si="23"/>
        <v>31.5</v>
      </c>
    </row>
    <row r="26" spans="1:86" s="370" customFormat="1" ht="66.75" customHeight="1" x14ac:dyDescent="0.25">
      <c r="A26" s="320" t="s">
        <v>292</v>
      </c>
      <c r="B26" s="396" t="s">
        <v>805</v>
      </c>
      <c r="C26" s="321" t="s">
        <v>4</v>
      </c>
      <c r="D26" s="321" t="s">
        <v>4</v>
      </c>
      <c r="E26" s="321" t="s">
        <v>4</v>
      </c>
      <c r="F26" s="321" t="s">
        <v>4</v>
      </c>
      <c r="G26" s="321" t="s">
        <v>4</v>
      </c>
      <c r="H26" s="321" t="s">
        <v>4</v>
      </c>
      <c r="I26" s="321" t="s">
        <v>4</v>
      </c>
      <c r="J26" s="321" t="s">
        <v>4</v>
      </c>
      <c r="K26" s="321" t="s">
        <v>4</v>
      </c>
      <c r="L26" s="321" t="s">
        <v>4</v>
      </c>
      <c r="M26" s="321" t="s">
        <v>4</v>
      </c>
      <c r="N26" s="321" t="s">
        <v>4</v>
      </c>
      <c r="O26" s="321" t="s">
        <v>4</v>
      </c>
      <c r="P26" s="321" t="s">
        <v>4</v>
      </c>
      <c r="Q26" s="321" t="s">
        <v>4</v>
      </c>
      <c r="R26" s="321" t="s">
        <v>4</v>
      </c>
      <c r="S26" s="321" t="s">
        <v>4</v>
      </c>
      <c r="T26" s="321" t="s">
        <v>4</v>
      </c>
      <c r="U26" s="321" t="s">
        <v>4</v>
      </c>
      <c r="V26" s="321" t="s">
        <v>4</v>
      </c>
      <c r="W26" s="321" t="s">
        <v>4</v>
      </c>
      <c r="X26" s="321" t="s">
        <v>4</v>
      </c>
      <c r="Y26" s="321" t="s">
        <v>4</v>
      </c>
      <c r="Z26" s="321" t="s">
        <v>4</v>
      </c>
      <c r="AA26" s="321" t="s">
        <v>4</v>
      </c>
      <c r="AB26" s="321" t="s">
        <v>4</v>
      </c>
      <c r="AC26" s="321" t="s">
        <v>4</v>
      </c>
      <c r="AD26" s="321" t="s">
        <v>4</v>
      </c>
      <c r="AE26" s="321" t="s">
        <v>4</v>
      </c>
      <c r="AF26" s="321" t="s">
        <v>4</v>
      </c>
      <c r="AG26" s="321" t="s">
        <v>4</v>
      </c>
      <c r="AH26" s="321" t="s">
        <v>4</v>
      </c>
      <c r="AI26" s="321" t="s">
        <v>4</v>
      </c>
      <c r="AJ26" s="321" t="s">
        <v>4</v>
      </c>
      <c r="AK26" s="321" t="s">
        <v>4</v>
      </c>
      <c r="AL26" s="321" t="s">
        <v>4</v>
      </c>
      <c r="AM26" s="321">
        <f>BK26/0.2152654/1000</f>
        <v>1.9580480653184396</v>
      </c>
      <c r="AN26" s="321">
        <f t="shared" ref="AN26:AO26" si="24">BL26/0.2152654/1000</f>
        <v>1.9580480653184396</v>
      </c>
      <c r="AO26" s="321">
        <f t="shared" si="24"/>
        <v>1.9580480653184396</v>
      </c>
      <c r="AP26" s="321">
        <f>BN26/0.178/1000</f>
        <v>1.8943820224719101</v>
      </c>
      <c r="AQ26" s="321">
        <f>BO26/0.178/1000</f>
        <v>1.8943820224719101</v>
      </c>
      <c r="AR26" s="321">
        <f>BP26/0.18557/1000</f>
        <v>1.5104812200247884</v>
      </c>
      <c r="AS26" s="321">
        <f t="shared" ref="AS26:AX26" si="25">BQ26/0.18557/1000</f>
        <v>1.5104812200247884</v>
      </c>
      <c r="AT26" s="321">
        <f t="shared" si="25"/>
        <v>1.5104812200247884</v>
      </c>
      <c r="AU26" s="321">
        <f t="shared" si="25"/>
        <v>1.5104812200247884</v>
      </c>
      <c r="AV26" s="321">
        <f t="shared" si="25"/>
        <v>1.5104812200247884</v>
      </c>
      <c r="AW26" s="321">
        <f t="shared" si="25"/>
        <v>1.5104812200247884</v>
      </c>
      <c r="AX26" s="321">
        <f t="shared" si="25"/>
        <v>1.5104812200247884</v>
      </c>
      <c r="AY26" s="321">
        <f t="shared" ref="AY26" si="26">BW26/0.2152654/1000</f>
        <v>1.1255872982838859</v>
      </c>
      <c r="AZ26" s="321">
        <f t="shared" ref="AZ26" si="27">BX26/0.2152654/1000</f>
        <v>1.1255872982838859</v>
      </c>
      <c r="BA26" s="321">
        <f t="shared" ref="BA26" si="28">BY26/0.2152654/1000</f>
        <v>1.1255872982838859</v>
      </c>
      <c r="BB26" s="321">
        <f>BZ26/0.178/1000</f>
        <v>1.1219101123595505</v>
      </c>
      <c r="BC26" s="321">
        <f>CA26/0.178/1000</f>
        <v>1.1219101123595505</v>
      </c>
      <c r="BD26" s="321">
        <f>CB26/0.18557/1000</f>
        <v>1.060516247238239</v>
      </c>
      <c r="BE26" s="321">
        <f t="shared" ref="BE26:BJ26" si="29">CC26/0.18557/1000</f>
        <v>1.060516247238239</v>
      </c>
      <c r="BF26" s="321">
        <f t="shared" si="29"/>
        <v>1.060516247238239</v>
      </c>
      <c r="BG26" s="321">
        <f t="shared" si="29"/>
        <v>1.060516247238239</v>
      </c>
      <c r="BH26" s="321">
        <f t="shared" si="29"/>
        <v>1.060516247238239</v>
      </c>
      <c r="BI26" s="321">
        <f t="shared" si="29"/>
        <v>1.060516247238239</v>
      </c>
      <c r="BJ26" s="321">
        <f t="shared" si="29"/>
        <v>1.060516247238239</v>
      </c>
      <c r="BK26" s="323">
        <v>421.5</v>
      </c>
      <c r="BL26" s="323">
        <f t="shared" ref="BL26:BM26" si="30">BK26</f>
        <v>421.5</v>
      </c>
      <c r="BM26" s="323">
        <f t="shared" si="30"/>
        <v>421.5</v>
      </c>
      <c r="BN26" s="323">
        <v>337.2</v>
      </c>
      <c r="BO26" s="323">
        <f>BN26</f>
        <v>337.2</v>
      </c>
      <c r="BP26" s="323">
        <v>280.3</v>
      </c>
      <c r="BQ26" s="323">
        <f t="shared" ref="BQ26:BV26" si="31">BP26</f>
        <v>280.3</v>
      </c>
      <c r="BR26" s="323">
        <f t="shared" si="31"/>
        <v>280.3</v>
      </c>
      <c r="BS26" s="323">
        <f t="shared" si="31"/>
        <v>280.3</v>
      </c>
      <c r="BT26" s="323">
        <f t="shared" si="31"/>
        <v>280.3</v>
      </c>
      <c r="BU26" s="323">
        <f t="shared" si="31"/>
        <v>280.3</v>
      </c>
      <c r="BV26" s="323">
        <f t="shared" si="31"/>
        <v>280.3</v>
      </c>
      <c r="BW26" s="323">
        <v>242.3</v>
      </c>
      <c r="BX26" s="323">
        <f t="shared" ref="BX26:BY26" si="32">BW26</f>
        <v>242.3</v>
      </c>
      <c r="BY26" s="323">
        <f t="shared" si="32"/>
        <v>242.3</v>
      </c>
      <c r="BZ26" s="323">
        <v>199.7</v>
      </c>
      <c r="CA26" s="323">
        <f>BZ26</f>
        <v>199.7</v>
      </c>
      <c r="CB26" s="323">
        <v>196.8</v>
      </c>
      <c r="CC26" s="323">
        <f t="shared" ref="CC26:CH26" si="33">CB26</f>
        <v>196.8</v>
      </c>
      <c r="CD26" s="323">
        <f t="shared" si="33"/>
        <v>196.8</v>
      </c>
      <c r="CE26" s="323">
        <f t="shared" si="33"/>
        <v>196.8</v>
      </c>
      <c r="CF26" s="323">
        <f t="shared" si="33"/>
        <v>196.8</v>
      </c>
      <c r="CG26" s="323">
        <f t="shared" si="33"/>
        <v>196.8</v>
      </c>
      <c r="CH26" s="323">
        <f t="shared" si="33"/>
        <v>196.8</v>
      </c>
    </row>
    <row r="27" spans="1:86" s="370" customFormat="1" ht="62.25" customHeight="1" x14ac:dyDescent="0.25">
      <c r="A27" s="320" t="s">
        <v>293</v>
      </c>
      <c r="B27" s="396" t="s">
        <v>806</v>
      </c>
      <c r="C27" s="321" t="s">
        <v>4</v>
      </c>
      <c r="D27" s="321" t="s">
        <v>4</v>
      </c>
      <c r="E27" s="321" t="s">
        <v>4</v>
      </c>
      <c r="F27" s="321" t="s">
        <v>4</v>
      </c>
      <c r="G27" s="321" t="s">
        <v>4</v>
      </c>
      <c r="H27" s="321" t="s">
        <v>4</v>
      </c>
      <c r="I27" s="321" t="s">
        <v>4</v>
      </c>
      <c r="J27" s="321" t="s">
        <v>4</v>
      </c>
      <c r="K27" s="321" t="s">
        <v>4</v>
      </c>
      <c r="L27" s="321" t="s">
        <v>4</v>
      </c>
      <c r="M27" s="321" t="s">
        <v>4</v>
      </c>
      <c r="N27" s="321" t="s">
        <v>4</v>
      </c>
      <c r="O27" s="321" t="s">
        <v>4</v>
      </c>
      <c r="P27" s="321" t="s">
        <v>4</v>
      </c>
      <c r="Q27" s="321" t="s">
        <v>4</v>
      </c>
      <c r="R27" s="321" t="s">
        <v>4</v>
      </c>
      <c r="S27" s="321" t="s">
        <v>4</v>
      </c>
      <c r="T27" s="321" t="s">
        <v>4</v>
      </c>
      <c r="U27" s="321" t="s">
        <v>4</v>
      </c>
      <c r="V27" s="321" t="s">
        <v>4</v>
      </c>
      <c r="W27" s="321" t="s">
        <v>4</v>
      </c>
      <c r="X27" s="321" t="s">
        <v>4</v>
      </c>
      <c r="Y27" s="321" t="s">
        <v>4</v>
      </c>
      <c r="Z27" s="321" t="s">
        <v>4</v>
      </c>
      <c r="AA27" s="321" t="s">
        <v>4</v>
      </c>
      <c r="AB27" s="321" t="s">
        <v>4</v>
      </c>
      <c r="AC27" s="321" t="s">
        <v>4</v>
      </c>
      <c r="AD27" s="321" t="s">
        <v>4</v>
      </c>
      <c r="AE27" s="321" t="s">
        <v>4</v>
      </c>
      <c r="AF27" s="321" t="s">
        <v>4</v>
      </c>
      <c r="AG27" s="321" t="s">
        <v>4</v>
      </c>
      <c r="AH27" s="321" t="s">
        <v>4</v>
      </c>
      <c r="AI27" s="321" t="s">
        <v>4</v>
      </c>
      <c r="AJ27" s="321" t="s">
        <v>4</v>
      </c>
      <c r="AK27" s="321" t="s">
        <v>4</v>
      </c>
      <c r="AL27" s="321" t="s">
        <v>4</v>
      </c>
      <c r="AM27" s="321">
        <f>BK27/0.037648/1000</f>
        <v>2.4861878453038671</v>
      </c>
      <c r="AN27" s="321">
        <f t="shared" ref="AN27:AO27" si="34">BL27/0.037648/1000</f>
        <v>2.4861878453038671</v>
      </c>
      <c r="AO27" s="321">
        <f t="shared" si="34"/>
        <v>2.4861878453038671</v>
      </c>
      <c r="AP27" s="321">
        <f>BN27/0.01479/1000</f>
        <v>1.440162271805274</v>
      </c>
      <c r="AQ27" s="321">
        <f t="shared" ref="AQ27" si="35">BO27/0.01479/1000</f>
        <v>1.440162271805274</v>
      </c>
      <c r="AR27" s="321">
        <f>BP27/0.01433/1000</f>
        <v>1.2909979064898813</v>
      </c>
      <c r="AS27" s="321">
        <f t="shared" ref="AS27:AX27" si="36">BQ27/0.01433/1000</f>
        <v>1.2909979064898813</v>
      </c>
      <c r="AT27" s="321">
        <f t="shared" si="36"/>
        <v>1.2909979064898813</v>
      </c>
      <c r="AU27" s="321">
        <f t="shared" si="36"/>
        <v>1.2909979064898813</v>
      </c>
      <c r="AV27" s="321">
        <f t="shared" si="36"/>
        <v>1.2909979064898813</v>
      </c>
      <c r="AW27" s="321">
        <f t="shared" si="36"/>
        <v>1.2909979064898813</v>
      </c>
      <c r="AX27" s="321">
        <f t="shared" si="36"/>
        <v>1.2909979064898813</v>
      </c>
      <c r="AY27" s="321">
        <f t="shared" ref="AY27" si="37">BW27/0.037648/1000</f>
        <v>0.66404589885252874</v>
      </c>
      <c r="AZ27" s="321">
        <f t="shared" ref="AZ27" si="38">BX27/0.037648/1000</f>
        <v>0.66404589885252874</v>
      </c>
      <c r="BA27" s="321">
        <f t="shared" ref="BA27" si="39">BY27/0.037648/1000</f>
        <v>0.66404589885252874</v>
      </c>
      <c r="BB27" s="321">
        <f>BZ27/0.01479/1000</f>
        <v>1.2170385395537526</v>
      </c>
      <c r="BC27" s="321">
        <f t="shared" ref="BC27" si="40">CA27/0.01479/1000</f>
        <v>1.2170385395537526</v>
      </c>
      <c r="BD27" s="321">
        <f>CB27/0.01433/1000</f>
        <v>0.8094905792044661</v>
      </c>
      <c r="BE27" s="321">
        <f t="shared" ref="BE27:BJ27" si="41">CC27/0.01433/1000</f>
        <v>0.8094905792044661</v>
      </c>
      <c r="BF27" s="321">
        <f t="shared" si="41"/>
        <v>0.8094905792044661</v>
      </c>
      <c r="BG27" s="321">
        <f t="shared" si="41"/>
        <v>0.8094905792044661</v>
      </c>
      <c r="BH27" s="321">
        <f t="shared" si="41"/>
        <v>0.8094905792044661</v>
      </c>
      <c r="BI27" s="321">
        <f t="shared" si="41"/>
        <v>0.8094905792044661</v>
      </c>
      <c r="BJ27" s="321">
        <f t="shared" si="41"/>
        <v>0.8094905792044661</v>
      </c>
      <c r="BK27" s="323">
        <v>93.6</v>
      </c>
      <c r="BL27" s="323">
        <f t="shared" ref="BL27:BM27" si="42">BK27</f>
        <v>93.6</v>
      </c>
      <c r="BM27" s="323">
        <f t="shared" si="42"/>
        <v>93.6</v>
      </c>
      <c r="BN27" s="323">
        <v>21.3</v>
      </c>
      <c r="BO27" s="323">
        <f>BN27</f>
        <v>21.3</v>
      </c>
      <c r="BP27" s="323">
        <v>18.5</v>
      </c>
      <c r="BQ27" s="323">
        <f t="shared" ref="BQ27:BV27" si="43">BP27</f>
        <v>18.5</v>
      </c>
      <c r="BR27" s="323">
        <f t="shared" si="43"/>
        <v>18.5</v>
      </c>
      <c r="BS27" s="323">
        <f t="shared" si="43"/>
        <v>18.5</v>
      </c>
      <c r="BT27" s="323">
        <f t="shared" si="43"/>
        <v>18.5</v>
      </c>
      <c r="BU27" s="323">
        <f t="shared" si="43"/>
        <v>18.5</v>
      </c>
      <c r="BV27" s="323">
        <f t="shared" si="43"/>
        <v>18.5</v>
      </c>
      <c r="BW27" s="323">
        <v>25</v>
      </c>
      <c r="BX27" s="323">
        <f t="shared" ref="BX27:BY27" si="44">BW27</f>
        <v>25</v>
      </c>
      <c r="BY27" s="323">
        <f t="shared" si="44"/>
        <v>25</v>
      </c>
      <c r="BZ27" s="323">
        <v>18</v>
      </c>
      <c r="CA27" s="323">
        <f>BZ27</f>
        <v>18</v>
      </c>
      <c r="CB27" s="323">
        <v>11.6</v>
      </c>
      <c r="CC27" s="323">
        <f t="shared" ref="CC27:CH27" si="45">CB27</f>
        <v>11.6</v>
      </c>
      <c r="CD27" s="323">
        <f t="shared" si="45"/>
        <v>11.6</v>
      </c>
      <c r="CE27" s="323">
        <f t="shared" si="45"/>
        <v>11.6</v>
      </c>
      <c r="CF27" s="323">
        <f t="shared" si="45"/>
        <v>11.6</v>
      </c>
      <c r="CG27" s="323">
        <f t="shared" si="45"/>
        <v>11.6</v>
      </c>
      <c r="CH27" s="323">
        <f t="shared" si="45"/>
        <v>11.6</v>
      </c>
    </row>
    <row r="28" spans="1:86" x14ac:dyDescent="0.3">
      <c r="A28" s="324"/>
      <c r="B28" s="325"/>
      <c r="C28" s="326"/>
      <c r="D28" s="326"/>
      <c r="E28" s="326"/>
      <c r="F28" s="326"/>
      <c r="G28" s="326"/>
      <c r="H28" s="326"/>
      <c r="I28" s="326"/>
      <c r="J28" s="326"/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U28" s="326"/>
      <c r="V28" s="326"/>
      <c r="W28" s="326"/>
      <c r="X28" s="326"/>
      <c r="Y28" s="326"/>
      <c r="Z28" s="326"/>
      <c r="AA28" s="326"/>
      <c r="AB28" s="326"/>
      <c r="AC28" s="326"/>
      <c r="AD28" s="326"/>
      <c r="AE28" s="326"/>
      <c r="AF28" s="326"/>
      <c r="AG28" s="326"/>
      <c r="AH28" s="326"/>
      <c r="AI28" s="326"/>
      <c r="AJ28" s="326"/>
      <c r="AK28" s="326"/>
      <c r="AL28" s="326"/>
      <c r="AM28" s="326"/>
      <c r="AN28" s="326"/>
      <c r="AO28" s="326"/>
      <c r="AP28" s="326"/>
      <c r="AQ28" s="326"/>
      <c r="AR28" s="326"/>
      <c r="AS28" s="326"/>
      <c r="AT28" s="326"/>
      <c r="AU28" s="326"/>
      <c r="AV28" s="326"/>
      <c r="AW28" s="326"/>
      <c r="AX28" s="326"/>
      <c r="AY28" s="326"/>
      <c r="AZ28" s="326"/>
      <c r="BA28" s="326"/>
      <c r="BB28" s="326"/>
      <c r="BC28" s="326"/>
      <c r="BD28" s="326"/>
      <c r="BE28" s="326"/>
      <c r="BF28" s="326"/>
      <c r="BG28" s="326"/>
      <c r="BH28" s="326"/>
      <c r="BI28" s="326"/>
      <c r="BJ28" s="326"/>
      <c r="BK28" s="327"/>
      <c r="BL28" s="327"/>
      <c r="BM28" s="327"/>
      <c r="BN28" s="327"/>
      <c r="BO28" s="327"/>
      <c r="BP28" s="327"/>
      <c r="BQ28" s="327"/>
      <c r="BR28" s="327"/>
      <c r="BS28" s="327"/>
      <c r="BT28" s="327"/>
      <c r="BU28" s="327"/>
      <c r="BV28" s="327"/>
      <c r="BW28" s="327"/>
      <c r="BX28" s="327"/>
      <c r="BY28" s="327"/>
      <c r="BZ28" s="327"/>
      <c r="CA28" s="327"/>
      <c r="CB28" s="327"/>
      <c r="CC28" s="327"/>
      <c r="CD28" s="327"/>
      <c r="CE28" s="327"/>
      <c r="CF28" s="327"/>
      <c r="CG28" s="327"/>
      <c r="CH28" s="327"/>
    </row>
    <row r="29" spans="1:86" x14ac:dyDescent="0.3">
      <c r="B29" s="325"/>
      <c r="C29" s="397"/>
    </row>
    <row r="30" spans="1:86" s="289" customFormat="1" ht="21" x14ac:dyDescent="0.35">
      <c r="A30" s="443"/>
      <c r="B30" s="443"/>
      <c r="C30" s="444"/>
      <c r="D30" s="444"/>
      <c r="E30" s="444"/>
      <c r="F30" s="444"/>
      <c r="G30" s="445"/>
      <c r="H30" s="445"/>
      <c r="I30" s="445"/>
      <c r="J30" s="445"/>
      <c r="K30" s="445"/>
      <c r="L30" s="445"/>
      <c r="M30" s="445"/>
    </row>
    <row r="31" spans="1:86" s="289" customFormat="1" ht="15.75" customHeight="1" x14ac:dyDescent="0.3"/>
  </sheetData>
  <mergeCells count="32">
    <mergeCell ref="A5:AP5"/>
    <mergeCell ref="A6:AP6"/>
    <mergeCell ref="A7:AP7"/>
    <mergeCell ref="A30:M30"/>
    <mergeCell ref="BW13:BW14"/>
    <mergeCell ref="AM10:AX12"/>
    <mergeCell ref="AY10:BJ12"/>
    <mergeCell ref="BK10:BV12"/>
    <mergeCell ref="BW10:CH12"/>
    <mergeCell ref="C13:C14"/>
    <mergeCell ref="A8:AL8"/>
    <mergeCell ref="AM8:CH8"/>
    <mergeCell ref="A9:A14"/>
    <mergeCell ref="B9:B14"/>
    <mergeCell ref="C9:Z9"/>
    <mergeCell ref="AA9:AL9"/>
    <mergeCell ref="AM9:CH9"/>
    <mergeCell ref="C10:N12"/>
    <mergeCell ref="O10:Z12"/>
    <mergeCell ref="AA10:AL12"/>
    <mergeCell ref="D13:N13"/>
    <mergeCell ref="O13:O14"/>
    <mergeCell ref="P13:Z13"/>
    <mergeCell ref="AA13:AA14"/>
    <mergeCell ref="AB13:AL13"/>
    <mergeCell ref="BX13:CH13"/>
    <mergeCell ref="AM13:AM14"/>
    <mergeCell ref="AN13:AX13"/>
    <mergeCell ref="AY13:AY14"/>
    <mergeCell ref="AZ13:BJ13"/>
    <mergeCell ref="BK13:BK14"/>
    <mergeCell ref="BL13:BV13"/>
  </mergeCells>
  <pageMargins left="0.31496062992125984" right="0.31496062992125984" top="0.55118110236220474" bottom="0.55118110236220474" header="0.31496062992125984" footer="0.31496062992125984"/>
  <pageSetup paperSize="9" scale="50" fitToHeight="2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260"/>
  <sheetViews>
    <sheetView view="pageBreakPreview" zoomScale="53" zoomScaleNormal="53" zoomScaleSheetLayoutView="53" workbookViewId="0">
      <selection activeCell="V2" sqref="V2"/>
    </sheetView>
  </sheetViews>
  <sheetFormatPr defaultColWidth="9.140625" defaultRowHeight="18.75" x14ac:dyDescent="0.3"/>
  <cols>
    <col min="1" max="1" width="10.5703125" style="328" customWidth="1"/>
    <col min="2" max="2" width="52.42578125" style="312" customWidth="1"/>
    <col min="3" max="3" width="17" style="312" customWidth="1"/>
    <col min="4" max="4" width="16.85546875" style="312" customWidth="1"/>
    <col min="5" max="5" width="16.140625" style="312" customWidth="1"/>
    <col min="6" max="6" width="16.42578125" style="312" customWidth="1"/>
    <col min="7" max="7" width="17.5703125" style="312" customWidth="1"/>
    <col min="8" max="8" width="18.7109375" style="312" customWidth="1"/>
    <col min="9" max="9" width="16.140625" style="312" customWidth="1"/>
    <col min="10" max="10" width="16.28515625" style="312" customWidth="1"/>
    <col min="11" max="11" width="18.7109375" style="312" customWidth="1"/>
    <col min="12" max="12" width="15.5703125" style="312" customWidth="1"/>
    <col min="13" max="13" width="15.85546875" style="312" customWidth="1"/>
    <col min="14" max="14" width="15.42578125" style="312" customWidth="1"/>
    <col min="15" max="15" width="15.85546875" style="312" customWidth="1"/>
    <col min="16" max="16" width="14.85546875" style="312" customWidth="1"/>
    <col min="17" max="17" width="15.5703125" style="312" customWidth="1"/>
    <col min="18" max="18" width="15.140625" style="312" customWidth="1"/>
    <col min="19" max="19" width="15.5703125" style="312" customWidth="1"/>
    <col min="20" max="20" width="14.85546875" style="312" customWidth="1"/>
    <col min="21" max="21" width="14.7109375" style="312" customWidth="1"/>
    <col min="22" max="22" width="15.7109375" style="329" customWidth="1"/>
    <col min="23" max="23" width="15.42578125" style="329" bestFit="1" customWidth="1"/>
    <col min="24" max="24" width="9.140625" style="329"/>
    <col min="25" max="16384" width="9.140625" style="312"/>
  </cols>
  <sheetData>
    <row r="1" spans="1:24" s="316" customFormat="1" ht="20.25" x14ac:dyDescent="0.3">
      <c r="A1" s="362"/>
      <c r="N1" s="390" t="s">
        <v>916</v>
      </c>
      <c r="V1" s="315" t="str">
        <f>N1</f>
        <v xml:space="preserve">Приложение 2/5 к протоколу заседания Правления Департамента энергетики </v>
      </c>
      <c r="W1" s="290"/>
      <c r="X1" s="290"/>
    </row>
    <row r="2" spans="1:24" s="316" customFormat="1" ht="20.25" x14ac:dyDescent="0.3">
      <c r="A2" s="362"/>
      <c r="N2" s="315" t="str">
        <f>'№ 4 ИП ТС'!BX2</f>
        <v>и тарифов Ивановской области от 13.12.2024 № 50/9</v>
      </c>
      <c r="V2" s="315" t="str">
        <f>'№3 ИП-ТС'!L2</f>
        <v>и тарифов Ивановской области от 13.12.2024 № 50/9</v>
      </c>
      <c r="W2" s="290"/>
      <c r="X2" s="290"/>
    </row>
    <row r="3" spans="1:24" s="316" customFormat="1" ht="20.25" x14ac:dyDescent="0.3">
      <c r="A3" s="362"/>
      <c r="N3" s="363" t="s">
        <v>907</v>
      </c>
      <c r="V3" s="363" t="s">
        <v>907</v>
      </c>
      <c r="W3" s="290"/>
      <c r="X3" s="290"/>
    </row>
    <row r="4" spans="1:24" s="316" customFormat="1" ht="20.25" x14ac:dyDescent="0.3">
      <c r="A4" s="362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290"/>
      <c r="W4" s="290"/>
      <c r="X4" s="290"/>
    </row>
    <row r="5" spans="1:24" s="365" customFormat="1" ht="20.25" x14ac:dyDescent="0.25">
      <c r="A5" s="462" t="s">
        <v>238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W5" s="364"/>
      <c r="X5" s="364"/>
    </row>
    <row r="6" spans="1:24" s="365" customFormat="1" ht="20.25" x14ac:dyDescent="0.25">
      <c r="A6" s="462" t="s">
        <v>639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03"/>
      <c r="P6" s="403"/>
      <c r="Q6" s="403"/>
      <c r="R6" s="403"/>
      <c r="S6" s="403"/>
      <c r="T6" s="403"/>
      <c r="U6" s="403"/>
      <c r="V6" s="403"/>
      <c r="W6" s="364"/>
      <c r="X6" s="364"/>
    </row>
    <row r="7" spans="1:24" s="365" customFormat="1" ht="20.25" x14ac:dyDescent="0.25">
      <c r="A7" s="462" t="s">
        <v>640</v>
      </c>
      <c r="B7" s="462"/>
      <c r="C7" s="462"/>
      <c r="D7" s="462"/>
      <c r="E7" s="462"/>
      <c r="F7" s="462"/>
      <c r="G7" s="462"/>
      <c r="H7" s="462"/>
      <c r="I7" s="462"/>
      <c r="J7" s="462"/>
      <c r="K7" s="462"/>
      <c r="L7" s="462"/>
      <c r="M7" s="462"/>
      <c r="N7" s="462"/>
      <c r="O7" s="403"/>
      <c r="P7" s="403"/>
      <c r="Q7" s="403"/>
      <c r="R7" s="403"/>
      <c r="S7" s="403"/>
      <c r="T7" s="403"/>
      <c r="U7" s="403"/>
      <c r="V7" s="403"/>
      <c r="W7" s="364"/>
      <c r="X7" s="364"/>
    </row>
    <row r="8" spans="1:24" s="331" customFormat="1" x14ac:dyDescent="0.2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276"/>
      <c r="W8" s="330"/>
      <c r="X8" s="330"/>
    </row>
    <row r="9" spans="1:24" s="316" customFormat="1" ht="15" customHeight="1" x14ac:dyDescent="0.3">
      <c r="A9" s="454" t="s">
        <v>53</v>
      </c>
      <c r="B9" s="454" t="s">
        <v>197</v>
      </c>
      <c r="C9" s="455" t="s">
        <v>852</v>
      </c>
      <c r="D9" s="456"/>
      <c r="E9" s="456"/>
      <c r="F9" s="456"/>
      <c r="G9" s="456"/>
      <c r="H9" s="456"/>
      <c r="I9" s="456"/>
      <c r="J9" s="456"/>
      <c r="K9" s="456"/>
      <c r="L9" s="456"/>
      <c r="M9" s="456"/>
      <c r="N9" s="456"/>
      <c r="O9" s="456"/>
      <c r="P9" s="456"/>
      <c r="Q9" s="456"/>
      <c r="R9" s="456"/>
      <c r="S9" s="456"/>
      <c r="T9" s="456"/>
      <c r="U9" s="456"/>
      <c r="V9" s="457" t="s">
        <v>239</v>
      </c>
      <c r="W9" s="366"/>
      <c r="X9" s="290"/>
    </row>
    <row r="10" spans="1:24" s="316" customFormat="1" ht="42.75" customHeight="1" x14ac:dyDescent="0.3">
      <c r="A10" s="454"/>
      <c r="B10" s="454"/>
      <c r="C10" s="457" t="s">
        <v>198</v>
      </c>
      <c r="D10" s="460" t="s">
        <v>240</v>
      </c>
      <c r="E10" s="461"/>
      <c r="F10" s="457" t="s">
        <v>198</v>
      </c>
      <c r="G10" s="457">
        <v>2024</v>
      </c>
      <c r="H10" s="457">
        <f>G10+1</f>
        <v>2025</v>
      </c>
      <c r="I10" s="457">
        <f>H10+1</f>
        <v>2026</v>
      </c>
      <c r="J10" s="457">
        <f t="shared" ref="J10:L10" si="0">I10+1</f>
        <v>2027</v>
      </c>
      <c r="K10" s="457">
        <f t="shared" si="0"/>
        <v>2028</v>
      </c>
      <c r="L10" s="457">
        <f t="shared" si="0"/>
        <v>2029</v>
      </c>
      <c r="M10" s="457">
        <f>L10+1</f>
        <v>2030</v>
      </c>
      <c r="N10" s="457">
        <f>M10+1</f>
        <v>2031</v>
      </c>
      <c r="O10" s="457">
        <f t="shared" ref="O10" si="1">N10+1</f>
        <v>2032</v>
      </c>
      <c r="P10" s="457">
        <f>O10+1</f>
        <v>2033</v>
      </c>
      <c r="Q10" s="457">
        <f>P10+1</f>
        <v>2034</v>
      </c>
      <c r="R10" s="457">
        <f t="shared" ref="R10:S10" si="2">Q10+1</f>
        <v>2035</v>
      </c>
      <c r="S10" s="457">
        <f t="shared" si="2"/>
        <v>2036</v>
      </c>
      <c r="T10" s="457">
        <f>S10+1</f>
        <v>2037</v>
      </c>
      <c r="U10" s="457">
        <f>T10+1</f>
        <v>2038</v>
      </c>
      <c r="V10" s="458"/>
      <c r="W10" s="366"/>
      <c r="X10" s="290"/>
    </row>
    <row r="11" spans="1:24" s="316" customFormat="1" ht="75.75" customHeight="1" x14ac:dyDescent="0.3">
      <c r="A11" s="454"/>
      <c r="B11" s="454"/>
      <c r="C11" s="459"/>
      <c r="D11" s="367" t="s">
        <v>179</v>
      </c>
      <c r="E11" s="368" t="s">
        <v>241</v>
      </c>
      <c r="F11" s="459"/>
      <c r="G11" s="459"/>
      <c r="H11" s="459"/>
      <c r="I11" s="459"/>
      <c r="J11" s="459"/>
      <c r="K11" s="459"/>
      <c r="L11" s="459"/>
      <c r="M11" s="459"/>
      <c r="N11" s="459"/>
      <c r="O11" s="459"/>
      <c r="P11" s="459"/>
      <c r="Q11" s="459"/>
      <c r="R11" s="459"/>
      <c r="S11" s="459"/>
      <c r="T11" s="459"/>
      <c r="U11" s="459"/>
      <c r="V11" s="459"/>
      <c r="W11" s="366"/>
      <c r="X11" s="290"/>
    </row>
    <row r="12" spans="1:24" s="316" customFormat="1" ht="15" customHeight="1" x14ac:dyDescent="0.3">
      <c r="A12" s="367">
        <f>COLUMN()</f>
        <v>1</v>
      </c>
      <c r="B12" s="367">
        <f>COLUMN()</f>
        <v>2</v>
      </c>
      <c r="C12" s="367">
        <f>COLUMN()</f>
        <v>3</v>
      </c>
      <c r="D12" s="367" t="s">
        <v>182</v>
      </c>
      <c r="E12" s="367" t="s">
        <v>183</v>
      </c>
      <c r="F12" s="367">
        <v>4</v>
      </c>
      <c r="G12" s="367">
        <v>5</v>
      </c>
      <c r="H12" s="367">
        <v>6</v>
      </c>
      <c r="I12" s="367">
        <f t="shared" ref="I12" si="3">H12+1</f>
        <v>7</v>
      </c>
      <c r="J12" s="367">
        <f t="shared" ref="J12" si="4">I12+1</f>
        <v>8</v>
      </c>
      <c r="K12" s="367">
        <f t="shared" ref="K12" si="5">J12+1</f>
        <v>9</v>
      </c>
      <c r="L12" s="367">
        <f t="shared" ref="L12" si="6">K12+1</f>
        <v>10</v>
      </c>
      <c r="M12" s="367">
        <f t="shared" ref="M12" si="7">L12+1</f>
        <v>11</v>
      </c>
      <c r="N12" s="367">
        <f t="shared" ref="N12" si="8">M12+1</f>
        <v>12</v>
      </c>
      <c r="O12" s="367">
        <f t="shared" ref="O12" si="9">N12+1</f>
        <v>13</v>
      </c>
      <c r="P12" s="367">
        <f t="shared" ref="P12" si="10">O12+1</f>
        <v>14</v>
      </c>
      <c r="Q12" s="367">
        <f t="shared" ref="Q12" si="11">P12+1</f>
        <v>15</v>
      </c>
      <c r="R12" s="367">
        <f t="shared" ref="R12" si="12">Q12+1</f>
        <v>16</v>
      </c>
      <c r="S12" s="367">
        <f t="shared" ref="S12" si="13">R12+1</f>
        <v>17</v>
      </c>
      <c r="T12" s="367">
        <f t="shared" ref="T12" si="14">S12+1</f>
        <v>18</v>
      </c>
      <c r="U12" s="367">
        <f t="shared" ref="U12:V12" si="15">T12+1</f>
        <v>19</v>
      </c>
      <c r="V12" s="367">
        <f t="shared" si="15"/>
        <v>20</v>
      </c>
      <c r="W12" s="366"/>
      <c r="X12" s="290"/>
    </row>
    <row r="13" spans="1:24" s="316" customFormat="1" ht="24.75" customHeight="1" x14ac:dyDescent="0.3">
      <c r="A13" s="455" t="str">
        <f>B9</f>
        <v>Источники финансирования</v>
      </c>
      <c r="B13" s="456"/>
      <c r="C13" s="456"/>
      <c r="D13" s="456"/>
      <c r="E13" s="456"/>
      <c r="F13" s="456"/>
      <c r="G13" s="456"/>
      <c r="H13" s="456"/>
      <c r="I13" s="456"/>
      <c r="J13" s="456"/>
      <c r="K13" s="456"/>
      <c r="L13" s="456"/>
      <c r="M13" s="456"/>
      <c r="N13" s="456"/>
      <c r="O13" s="456"/>
      <c r="P13" s="456"/>
      <c r="Q13" s="456"/>
      <c r="R13" s="456"/>
      <c r="S13" s="456"/>
      <c r="T13" s="456"/>
      <c r="U13" s="456"/>
      <c r="V13" s="463"/>
      <c r="W13" s="366"/>
      <c r="X13" s="290"/>
    </row>
    <row r="14" spans="1:24" s="340" customFormat="1" x14ac:dyDescent="0.3">
      <c r="A14" s="334" t="s">
        <v>29</v>
      </c>
      <c r="B14" s="335" t="s">
        <v>199</v>
      </c>
      <c r="C14" s="336">
        <f>E14</f>
        <v>0</v>
      </c>
      <c r="D14" s="336">
        <f>D15+D16+D17+D20+D21</f>
        <v>0</v>
      </c>
      <c r="E14" s="336">
        <f>E15+E16+E17+E20+E21</f>
        <v>0</v>
      </c>
      <c r="F14" s="336">
        <f>F15+F16+F17+F20+F21</f>
        <v>0</v>
      </c>
      <c r="G14" s="336">
        <f t="shared" ref="G14:U14" si="16">G15+G16+G17+G20+G21</f>
        <v>0</v>
      </c>
      <c r="H14" s="336">
        <f t="shared" si="16"/>
        <v>0</v>
      </c>
      <c r="I14" s="336">
        <f t="shared" si="16"/>
        <v>0</v>
      </c>
      <c r="J14" s="336">
        <f t="shared" si="16"/>
        <v>0</v>
      </c>
      <c r="K14" s="336">
        <f t="shared" si="16"/>
        <v>0</v>
      </c>
      <c r="L14" s="336">
        <f t="shared" si="16"/>
        <v>0</v>
      </c>
      <c r="M14" s="336">
        <f t="shared" si="16"/>
        <v>0</v>
      </c>
      <c r="N14" s="336">
        <f t="shared" si="16"/>
        <v>0</v>
      </c>
      <c r="O14" s="336">
        <f t="shared" si="16"/>
        <v>0</v>
      </c>
      <c r="P14" s="336">
        <f t="shared" si="16"/>
        <v>0</v>
      </c>
      <c r="Q14" s="336">
        <f t="shared" si="16"/>
        <v>0</v>
      </c>
      <c r="R14" s="336">
        <f t="shared" si="16"/>
        <v>0</v>
      </c>
      <c r="S14" s="336">
        <f t="shared" si="16"/>
        <v>0</v>
      </c>
      <c r="T14" s="336">
        <f t="shared" si="16"/>
        <v>0</v>
      </c>
      <c r="U14" s="336">
        <f t="shared" si="16"/>
        <v>0</v>
      </c>
      <c r="V14" s="337"/>
      <c r="W14" s="338"/>
      <c r="X14" s="339"/>
    </row>
    <row r="15" spans="1:24" ht="75" x14ac:dyDescent="0.3">
      <c r="A15" s="333" t="s">
        <v>242</v>
      </c>
      <c r="B15" s="341" t="s">
        <v>200</v>
      </c>
      <c r="C15" s="342">
        <f t="shared" ref="C15:C21" si="17">E15</f>
        <v>0</v>
      </c>
      <c r="D15" s="342">
        <v>0</v>
      </c>
      <c r="E15" s="342">
        <f>SUM(G15:S15)</f>
        <v>0</v>
      </c>
      <c r="F15" s="342">
        <f t="shared" ref="F15:F22" si="18">SUM(G15:U15)</f>
        <v>0</v>
      </c>
      <c r="G15" s="342">
        <v>0</v>
      </c>
      <c r="H15" s="342">
        <v>0</v>
      </c>
      <c r="I15" s="342">
        <v>0</v>
      </c>
      <c r="J15" s="342">
        <v>0</v>
      </c>
      <c r="K15" s="342">
        <v>0</v>
      </c>
      <c r="L15" s="342">
        <v>0</v>
      </c>
      <c r="M15" s="342">
        <v>0</v>
      </c>
      <c r="N15" s="342">
        <v>0</v>
      </c>
      <c r="O15" s="342">
        <v>0</v>
      </c>
      <c r="P15" s="342">
        <v>0</v>
      </c>
      <c r="Q15" s="342">
        <v>0</v>
      </c>
      <c r="R15" s="342">
        <v>0</v>
      </c>
      <c r="S15" s="342">
        <v>0</v>
      </c>
      <c r="T15" s="342">
        <v>0</v>
      </c>
      <c r="U15" s="342">
        <v>0</v>
      </c>
      <c r="V15" s="337"/>
      <c r="W15" s="332"/>
    </row>
    <row r="16" spans="1:24" ht="94.5" customHeight="1" x14ac:dyDescent="0.3">
      <c r="A16" s="333" t="s">
        <v>243</v>
      </c>
      <c r="B16" s="341" t="s">
        <v>201</v>
      </c>
      <c r="C16" s="342">
        <f t="shared" si="17"/>
        <v>0</v>
      </c>
      <c r="D16" s="342">
        <v>0</v>
      </c>
      <c r="E16" s="342">
        <f>SUM(G16:S16)</f>
        <v>0</v>
      </c>
      <c r="F16" s="342">
        <f t="shared" si="18"/>
        <v>0</v>
      </c>
      <c r="G16" s="342">
        <v>0</v>
      </c>
      <c r="H16" s="342">
        <v>0</v>
      </c>
      <c r="I16" s="342">
        <v>0</v>
      </c>
      <c r="J16" s="342">
        <v>0</v>
      </c>
      <c r="K16" s="342">
        <v>0</v>
      </c>
      <c r="L16" s="342">
        <v>0</v>
      </c>
      <c r="M16" s="342">
        <v>0</v>
      </c>
      <c r="N16" s="342">
        <v>0</v>
      </c>
      <c r="O16" s="342">
        <v>0</v>
      </c>
      <c r="P16" s="342">
        <v>0</v>
      </c>
      <c r="Q16" s="342">
        <v>0</v>
      </c>
      <c r="R16" s="342">
        <v>0</v>
      </c>
      <c r="S16" s="342">
        <v>0</v>
      </c>
      <c r="T16" s="342">
        <v>0</v>
      </c>
      <c r="U16" s="342">
        <v>0</v>
      </c>
      <c r="V16" s="337"/>
      <c r="W16" s="332"/>
    </row>
    <row r="17" spans="1:24" ht="29.25" customHeight="1" x14ac:dyDescent="0.3">
      <c r="A17" s="333" t="s">
        <v>244</v>
      </c>
      <c r="B17" s="341" t="s">
        <v>245</v>
      </c>
      <c r="C17" s="342">
        <v>0</v>
      </c>
      <c r="D17" s="342">
        <v>0</v>
      </c>
      <c r="E17" s="342">
        <v>0</v>
      </c>
      <c r="F17" s="342">
        <f t="shared" si="18"/>
        <v>0</v>
      </c>
      <c r="G17" s="342">
        <v>0</v>
      </c>
      <c r="H17" s="342">
        <v>0</v>
      </c>
      <c r="I17" s="342">
        <v>0</v>
      </c>
      <c r="J17" s="342">
        <v>0</v>
      </c>
      <c r="K17" s="342">
        <v>0</v>
      </c>
      <c r="L17" s="342">
        <v>0</v>
      </c>
      <c r="M17" s="342">
        <v>0</v>
      </c>
      <c r="N17" s="342">
        <v>0</v>
      </c>
      <c r="O17" s="342">
        <v>0</v>
      </c>
      <c r="P17" s="342">
        <v>0</v>
      </c>
      <c r="Q17" s="342">
        <v>0</v>
      </c>
      <c r="R17" s="342">
        <v>0</v>
      </c>
      <c r="S17" s="342">
        <v>0</v>
      </c>
      <c r="T17" s="342">
        <v>0</v>
      </c>
      <c r="U17" s="342">
        <v>0</v>
      </c>
      <c r="V17" s="337"/>
      <c r="W17" s="332"/>
    </row>
    <row r="18" spans="1:24" ht="47.45" customHeight="1" x14ac:dyDescent="0.3">
      <c r="A18" s="333" t="s">
        <v>246</v>
      </c>
      <c r="B18" s="341" t="s">
        <v>202</v>
      </c>
      <c r="C18" s="342">
        <v>0</v>
      </c>
      <c r="D18" s="342">
        <v>0</v>
      </c>
      <c r="E18" s="342">
        <f>SUM(G18:S18)</f>
        <v>0</v>
      </c>
      <c r="F18" s="342">
        <f t="shared" si="18"/>
        <v>0</v>
      </c>
      <c r="G18" s="342">
        <v>0</v>
      </c>
      <c r="H18" s="342">
        <v>0</v>
      </c>
      <c r="I18" s="342">
        <v>0</v>
      </c>
      <c r="J18" s="342">
        <v>0</v>
      </c>
      <c r="K18" s="342">
        <v>0</v>
      </c>
      <c r="L18" s="342">
        <v>0</v>
      </c>
      <c r="M18" s="342">
        <v>0</v>
      </c>
      <c r="N18" s="342">
        <v>0</v>
      </c>
      <c r="O18" s="342">
        <v>0</v>
      </c>
      <c r="P18" s="342">
        <v>0</v>
      </c>
      <c r="Q18" s="342">
        <v>0</v>
      </c>
      <c r="R18" s="342">
        <v>0</v>
      </c>
      <c r="S18" s="342">
        <v>0</v>
      </c>
      <c r="T18" s="342">
        <v>0</v>
      </c>
      <c r="U18" s="342">
        <v>0</v>
      </c>
      <c r="V18" s="337"/>
      <c r="W18" s="332"/>
    </row>
    <row r="19" spans="1:24" s="340" customFormat="1" ht="131.25" x14ac:dyDescent="0.3">
      <c r="A19" s="333" t="s">
        <v>247</v>
      </c>
      <c r="B19" s="341" t="s">
        <v>248</v>
      </c>
      <c r="C19" s="342">
        <v>0</v>
      </c>
      <c r="D19" s="342">
        <v>0</v>
      </c>
      <c r="E19" s="342">
        <f>SUM(G19:S19)</f>
        <v>0</v>
      </c>
      <c r="F19" s="342">
        <f t="shared" si="18"/>
        <v>0</v>
      </c>
      <c r="G19" s="342">
        <v>0</v>
      </c>
      <c r="H19" s="342">
        <v>0</v>
      </c>
      <c r="I19" s="342">
        <v>0</v>
      </c>
      <c r="J19" s="342">
        <v>0</v>
      </c>
      <c r="K19" s="342">
        <v>0</v>
      </c>
      <c r="L19" s="342">
        <v>0</v>
      </c>
      <c r="M19" s="342">
        <v>0</v>
      </c>
      <c r="N19" s="342">
        <v>0</v>
      </c>
      <c r="O19" s="342">
        <v>0</v>
      </c>
      <c r="P19" s="342">
        <v>0</v>
      </c>
      <c r="Q19" s="342">
        <v>0</v>
      </c>
      <c r="R19" s="342">
        <v>0</v>
      </c>
      <c r="S19" s="342">
        <v>0</v>
      </c>
      <c r="T19" s="342">
        <v>0</v>
      </c>
      <c r="U19" s="342">
        <v>0</v>
      </c>
      <c r="V19" s="337"/>
      <c r="W19" s="338"/>
      <c r="X19" s="339"/>
    </row>
    <row r="20" spans="1:24" ht="141.75" customHeight="1" x14ac:dyDescent="0.3">
      <c r="A20" s="333" t="s">
        <v>249</v>
      </c>
      <c r="B20" s="341" t="s">
        <v>203</v>
      </c>
      <c r="C20" s="342">
        <f t="shared" si="17"/>
        <v>0</v>
      </c>
      <c r="D20" s="342">
        <v>0</v>
      </c>
      <c r="E20" s="342">
        <f>SUM(G20:S20)</f>
        <v>0</v>
      </c>
      <c r="F20" s="342">
        <f t="shared" si="18"/>
        <v>0</v>
      </c>
      <c r="G20" s="342">
        <v>0</v>
      </c>
      <c r="H20" s="342">
        <v>0</v>
      </c>
      <c r="I20" s="342">
        <v>0</v>
      </c>
      <c r="J20" s="342">
        <v>0</v>
      </c>
      <c r="K20" s="342">
        <v>0</v>
      </c>
      <c r="L20" s="342">
        <v>0</v>
      </c>
      <c r="M20" s="342">
        <v>0</v>
      </c>
      <c r="N20" s="342">
        <v>0</v>
      </c>
      <c r="O20" s="342">
        <v>0</v>
      </c>
      <c r="P20" s="342">
        <v>0</v>
      </c>
      <c r="Q20" s="342">
        <v>0</v>
      </c>
      <c r="R20" s="342">
        <v>0</v>
      </c>
      <c r="S20" s="342">
        <v>0</v>
      </c>
      <c r="T20" s="342">
        <v>0</v>
      </c>
      <c r="U20" s="342">
        <v>0</v>
      </c>
      <c r="V20" s="337"/>
      <c r="W20" s="332"/>
    </row>
    <row r="21" spans="1:24" ht="56.25" x14ac:dyDescent="0.3">
      <c r="A21" s="333" t="s">
        <v>250</v>
      </c>
      <c r="B21" s="341" t="s">
        <v>204</v>
      </c>
      <c r="C21" s="342">
        <f t="shared" si="17"/>
        <v>0</v>
      </c>
      <c r="D21" s="342">
        <v>0</v>
      </c>
      <c r="E21" s="342">
        <f>SUM(G21:S21)</f>
        <v>0</v>
      </c>
      <c r="F21" s="342">
        <f t="shared" si="18"/>
        <v>0</v>
      </c>
      <c r="G21" s="342">
        <v>0</v>
      </c>
      <c r="H21" s="342">
        <v>0</v>
      </c>
      <c r="I21" s="342">
        <v>0</v>
      </c>
      <c r="J21" s="342">
        <v>0</v>
      </c>
      <c r="K21" s="342">
        <v>0</v>
      </c>
      <c r="L21" s="342">
        <v>0</v>
      </c>
      <c r="M21" s="342">
        <v>0</v>
      </c>
      <c r="N21" s="342">
        <v>0</v>
      </c>
      <c r="O21" s="342">
        <v>0</v>
      </c>
      <c r="P21" s="342">
        <v>0</v>
      </c>
      <c r="Q21" s="342">
        <v>0</v>
      </c>
      <c r="R21" s="342">
        <v>0</v>
      </c>
      <c r="S21" s="342">
        <v>0</v>
      </c>
      <c r="T21" s="342">
        <v>0</v>
      </c>
      <c r="U21" s="342">
        <v>0</v>
      </c>
      <c r="V21" s="337"/>
      <c r="W21" s="332"/>
    </row>
    <row r="22" spans="1:24" ht="56.25" x14ac:dyDescent="0.3">
      <c r="A22" s="334" t="s">
        <v>180</v>
      </c>
      <c r="B22" s="343" t="s">
        <v>205</v>
      </c>
      <c r="C22" s="336">
        <f t="shared" ref="C22:C96" si="19">D22+E22</f>
        <v>0</v>
      </c>
      <c r="D22" s="336">
        <v>0</v>
      </c>
      <c r="E22" s="336">
        <f>SUM(G22:S22)</f>
        <v>0</v>
      </c>
      <c r="F22" s="336">
        <f t="shared" si="18"/>
        <v>0</v>
      </c>
      <c r="G22" s="336">
        <v>0</v>
      </c>
      <c r="H22" s="336">
        <v>0</v>
      </c>
      <c r="I22" s="336">
        <v>0</v>
      </c>
      <c r="J22" s="336">
        <v>0</v>
      </c>
      <c r="K22" s="336">
        <v>0</v>
      </c>
      <c r="L22" s="336">
        <v>0</v>
      </c>
      <c r="M22" s="336">
        <v>0</v>
      </c>
      <c r="N22" s="336">
        <v>0</v>
      </c>
      <c r="O22" s="336">
        <v>0</v>
      </c>
      <c r="P22" s="336">
        <v>0</v>
      </c>
      <c r="Q22" s="336">
        <v>0</v>
      </c>
      <c r="R22" s="336">
        <v>0</v>
      </c>
      <c r="S22" s="336">
        <v>0</v>
      </c>
      <c r="T22" s="336">
        <v>0</v>
      </c>
      <c r="U22" s="336">
        <v>0</v>
      </c>
      <c r="V22" s="337"/>
      <c r="W22" s="332"/>
    </row>
    <row r="23" spans="1:24" s="340" customFormat="1" ht="37.5" x14ac:dyDescent="0.3">
      <c r="A23" s="334" t="s">
        <v>181</v>
      </c>
      <c r="B23" s="335" t="s">
        <v>206</v>
      </c>
      <c r="C23" s="336">
        <f t="shared" si="19"/>
        <v>70995.746333333329</v>
      </c>
      <c r="D23" s="336">
        <f t="shared" ref="D23:U23" si="20">D24+D25+D96</f>
        <v>45552.033999999992</v>
      </c>
      <c r="E23" s="336">
        <f t="shared" si="20"/>
        <v>25443.712333333333</v>
      </c>
      <c r="F23" s="336">
        <f t="shared" si="20"/>
        <v>70995.746333333358</v>
      </c>
      <c r="G23" s="336">
        <f t="shared" si="20"/>
        <v>0</v>
      </c>
      <c r="H23" s="336">
        <f t="shared" si="20"/>
        <v>49671.902999999998</v>
      </c>
      <c r="I23" s="336">
        <f t="shared" si="20"/>
        <v>11913.603999999999</v>
      </c>
      <c r="J23" s="336">
        <f t="shared" si="20"/>
        <v>9410.239333333333</v>
      </c>
      <c r="K23" s="336">
        <f t="shared" si="20"/>
        <v>0</v>
      </c>
      <c r="L23" s="336">
        <f t="shared" si="20"/>
        <v>0</v>
      </c>
      <c r="M23" s="336">
        <f t="shared" si="20"/>
        <v>0</v>
      </c>
      <c r="N23" s="336">
        <f t="shared" si="20"/>
        <v>0</v>
      </c>
      <c r="O23" s="336">
        <f t="shared" si="20"/>
        <v>0</v>
      </c>
      <c r="P23" s="336">
        <f t="shared" si="20"/>
        <v>0</v>
      </c>
      <c r="Q23" s="336">
        <f t="shared" si="20"/>
        <v>0</v>
      </c>
      <c r="R23" s="336">
        <f t="shared" si="20"/>
        <v>0</v>
      </c>
      <c r="S23" s="336">
        <f t="shared" si="20"/>
        <v>0</v>
      </c>
      <c r="T23" s="336">
        <f t="shared" si="20"/>
        <v>0</v>
      </c>
      <c r="U23" s="336">
        <f t="shared" si="20"/>
        <v>0</v>
      </c>
      <c r="V23" s="337"/>
      <c r="W23" s="338"/>
      <c r="X23" s="339"/>
    </row>
    <row r="24" spans="1:24" s="340" customFormat="1" ht="27.75" customHeight="1" x14ac:dyDescent="0.3">
      <c r="A24" s="333" t="s">
        <v>182</v>
      </c>
      <c r="B24" s="341" t="s">
        <v>207</v>
      </c>
      <c r="C24" s="342">
        <f t="shared" si="19"/>
        <v>0</v>
      </c>
      <c r="D24" s="342">
        <v>0</v>
      </c>
      <c r="E24" s="342">
        <v>0</v>
      </c>
      <c r="F24" s="342">
        <f>SUM(G24:U24)</f>
        <v>0</v>
      </c>
      <c r="G24" s="342">
        <v>0</v>
      </c>
      <c r="H24" s="342">
        <v>0</v>
      </c>
      <c r="I24" s="342">
        <v>0</v>
      </c>
      <c r="J24" s="342"/>
      <c r="K24" s="342"/>
      <c r="L24" s="342"/>
      <c r="M24" s="342"/>
      <c r="N24" s="342"/>
      <c r="O24" s="342"/>
      <c r="P24" s="342">
        <v>0</v>
      </c>
      <c r="Q24" s="342">
        <v>0</v>
      </c>
      <c r="R24" s="342">
        <v>0</v>
      </c>
      <c r="S24" s="342">
        <v>0</v>
      </c>
      <c r="T24" s="342">
        <v>0</v>
      </c>
      <c r="U24" s="342">
        <v>0</v>
      </c>
      <c r="V24" s="337"/>
      <c r="W24" s="338"/>
      <c r="X24" s="339"/>
    </row>
    <row r="25" spans="1:24" ht="24.75" customHeight="1" x14ac:dyDescent="0.3">
      <c r="A25" s="333" t="s">
        <v>183</v>
      </c>
      <c r="B25" s="341" t="s">
        <v>251</v>
      </c>
      <c r="C25" s="342">
        <f t="shared" ref="C25:U25" si="21">SUM(C26:C95)</f>
        <v>70995.746333333358</v>
      </c>
      <c r="D25" s="342">
        <f t="shared" si="21"/>
        <v>45552.033999999992</v>
      </c>
      <c r="E25" s="342">
        <f t="shared" si="21"/>
        <v>25443.712333333333</v>
      </c>
      <c r="F25" s="342">
        <f t="shared" si="21"/>
        <v>70995.746333333358</v>
      </c>
      <c r="G25" s="342">
        <f t="shared" si="21"/>
        <v>0</v>
      </c>
      <c r="H25" s="342">
        <f t="shared" si="21"/>
        <v>49671.902999999998</v>
      </c>
      <c r="I25" s="342">
        <f t="shared" si="21"/>
        <v>11913.603999999999</v>
      </c>
      <c r="J25" s="342">
        <f t="shared" si="21"/>
        <v>9410.239333333333</v>
      </c>
      <c r="K25" s="342">
        <f t="shared" si="21"/>
        <v>0</v>
      </c>
      <c r="L25" s="342">
        <f t="shared" si="21"/>
        <v>0</v>
      </c>
      <c r="M25" s="342">
        <f t="shared" si="21"/>
        <v>0</v>
      </c>
      <c r="N25" s="342">
        <f t="shared" si="21"/>
        <v>0</v>
      </c>
      <c r="O25" s="342">
        <f t="shared" si="21"/>
        <v>0</v>
      </c>
      <c r="P25" s="342">
        <f t="shared" si="21"/>
        <v>0</v>
      </c>
      <c r="Q25" s="342">
        <f t="shared" si="21"/>
        <v>0</v>
      </c>
      <c r="R25" s="342">
        <f t="shared" si="21"/>
        <v>0</v>
      </c>
      <c r="S25" s="342">
        <f t="shared" si="21"/>
        <v>0</v>
      </c>
      <c r="T25" s="342">
        <f t="shared" si="21"/>
        <v>0</v>
      </c>
      <c r="U25" s="342">
        <f t="shared" si="21"/>
        <v>0</v>
      </c>
      <c r="V25" s="342"/>
      <c r="W25" s="332"/>
    </row>
    <row r="26" spans="1:24" ht="56.25" x14ac:dyDescent="0.3">
      <c r="A26" s="344" t="s">
        <v>133</v>
      </c>
      <c r="B26" s="341" t="str">
        <f>'№2 ИП ТС'!B31</f>
        <v>Строительство БМК мощностью 2,5 МВт в п. Верхний Ландех, в районе д. 1А по ул. Новая</v>
      </c>
      <c r="C26" s="342">
        <f>'№2 ИП ТС'!R31-C98</f>
        <v>16233.991999999998</v>
      </c>
      <c r="D26" s="345">
        <f>C26</f>
        <v>16233.991999999998</v>
      </c>
      <c r="E26" s="342">
        <v>0</v>
      </c>
      <c r="F26" s="345">
        <f>SUM(G26:U26)</f>
        <v>16233.991999999998</v>
      </c>
      <c r="G26" s="342">
        <v>0</v>
      </c>
      <c r="H26" s="345">
        <f>C26</f>
        <v>16233.991999999998</v>
      </c>
      <c r="I26" s="342">
        <v>0</v>
      </c>
      <c r="J26" s="342">
        <v>0</v>
      </c>
      <c r="K26" s="342">
        <v>0</v>
      </c>
      <c r="L26" s="342">
        <v>0</v>
      </c>
      <c r="M26" s="342">
        <v>0</v>
      </c>
      <c r="N26" s="342">
        <v>0</v>
      </c>
      <c r="O26" s="342">
        <v>0</v>
      </c>
      <c r="P26" s="342">
        <v>0</v>
      </c>
      <c r="Q26" s="342">
        <v>0</v>
      </c>
      <c r="R26" s="342">
        <v>0</v>
      </c>
      <c r="S26" s="342">
        <v>0</v>
      </c>
      <c r="T26" s="342">
        <v>0</v>
      </c>
      <c r="U26" s="342">
        <v>0</v>
      </c>
      <c r="V26" s="342" t="str">
        <f>'№2 ИП ТС'!A31</f>
        <v>2.1</v>
      </c>
      <c r="W26" s="332"/>
    </row>
    <row r="27" spans="1:24" ht="56.25" x14ac:dyDescent="0.3">
      <c r="A27" s="344" t="s">
        <v>641</v>
      </c>
      <c r="B27" s="341" t="str">
        <f>'№2 ИП ТС'!B32</f>
        <v>Строительство сетей газоснабжения в п. Верхний Ландех, в районе д. 1А по ул. Новая</v>
      </c>
      <c r="C27" s="342">
        <f>'№2 ИП ТС'!R32</f>
        <v>261.08300000000003</v>
      </c>
      <c r="D27" s="345">
        <f t="shared" ref="D27:D31" si="22">C27</f>
        <v>261.08300000000003</v>
      </c>
      <c r="E27" s="342">
        <v>0</v>
      </c>
      <c r="F27" s="345">
        <f t="shared" ref="F27:F90" si="23">SUM(G27:U27)</f>
        <v>261.08300000000003</v>
      </c>
      <c r="G27" s="342">
        <v>0</v>
      </c>
      <c r="H27" s="345">
        <f t="shared" ref="H27:H53" si="24">C27</f>
        <v>261.08300000000003</v>
      </c>
      <c r="I27" s="342">
        <v>0</v>
      </c>
      <c r="J27" s="342">
        <v>0</v>
      </c>
      <c r="K27" s="342">
        <v>0</v>
      </c>
      <c r="L27" s="342">
        <v>0</v>
      </c>
      <c r="M27" s="342">
        <v>0</v>
      </c>
      <c r="N27" s="342">
        <v>0</v>
      </c>
      <c r="O27" s="342">
        <v>0</v>
      </c>
      <c r="P27" s="342">
        <v>0</v>
      </c>
      <c r="Q27" s="342">
        <v>0</v>
      </c>
      <c r="R27" s="342">
        <v>0</v>
      </c>
      <c r="S27" s="342">
        <v>0</v>
      </c>
      <c r="T27" s="342">
        <v>0</v>
      </c>
      <c r="U27" s="342">
        <v>0</v>
      </c>
      <c r="V27" s="342" t="str">
        <f>'№2 ИП ТС'!A32</f>
        <v>2.2</v>
      </c>
      <c r="W27" s="332"/>
    </row>
    <row r="28" spans="1:24" ht="56.25" x14ac:dyDescent="0.3">
      <c r="A28" s="344" t="s">
        <v>642</v>
      </c>
      <c r="B28" s="341" t="str">
        <f>'№2 ИП ТС'!B33</f>
        <v>Строительство ГРПШ пропускной способностью 250 м3/час  в п. Верхний Ландех, в районе д. 1А по ул. Новая</v>
      </c>
      <c r="C28" s="342">
        <f>'№2 ИП ТС'!R33</f>
        <v>278.892</v>
      </c>
      <c r="D28" s="345">
        <f t="shared" si="22"/>
        <v>278.892</v>
      </c>
      <c r="E28" s="342">
        <v>0</v>
      </c>
      <c r="F28" s="345">
        <f t="shared" si="23"/>
        <v>278.892</v>
      </c>
      <c r="G28" s="342">
        <v>0</v>
      </c>
      <c r="H28" s="345">
        <f t="shared" si="24"/>
        <v>278.892</v>
      </c>
      <c r="I28" s="342">
        <v>0</v>
      </c>
      <c r="J28" s="342">
        <v>0</v>
      </c>
      <c r="K28" s="342">
        <v>0</v>
      </c>
      <c r="L28" s="342">
        <v>0</v>
      </c>
      <c r="M28" s="342">
        <v>0</v>
      </c>
      <c r="N28" s="342">
        <v>0</v>
      </c>
      <c r="O28" s="342">
        <v>0</v>
      </c>
      <c r="P28" s="342">
        <v>0</v>
      </c>
      <c r="Q28" s="342">
        <v>0</v>
      </c>
      <c r="R28" s="342">
        <v>0</v>
      </c>
      <c r="S28" s="342">
        <v>0</v>
      </c>
      <c r="T28" s="342">
        <v>0</v>
      </c>
      <c r="U28" s="342">
        <v>0</v>
      </c>
      <c r="V28" s="342" t="str">
        <f>'№2 ИП ТС'!A33</f>
        <v>2.3</v>
      </c>
      <c r="W28" s="332"/>
    </row>
    <row r="29" spans="1:24" ht="56.25" x14ac:dyDescent="0.3">
      <c r="A29" s="344" t="s">
        <v>643</v>
      </c>
      <c r="B29" s="341" t="str">
        <f>'№2 ИП ТС'!B34</f>
        <v>Строительство сетей водоснабжения в п. Верхний Ландех, в районе д. 1А по ул. Новая</v>
      </c>
      <c r="C29" s="342">
        <f>'№2 ИП ТС'!R34</f>
        <v>421.30599999999998</v>
      </c>
      <c r="D29" s="345">
        <f t="shared" si="22"/>
        <v>421.30599999999998</v>
      </c>
      <c r="E29" s="342">
        <v>0</v>
      </c>
      <c r="F29" s="345">
        <f t="shared" si="23"/>
        <v>421.30599999999998</v>
      </c>
      <c r="G29" s="342">
        <v>0</v>
      </c>
      <c r="H29" s="345">
        <f t="shared" si="24"/>
        <v>421.30599999999998</v>
      </c>
      <c r="I29" s="342">
        <v>0</v>
      </c>
      <c r="J29" s="342">
        <v>0</v>
      </c>
      <c r="K29" s="342">
        <v>0</v>
      </c>
      <c r="L29" s="342">
        <v>0</v>
      </c>
      <c r="M29" s="342">
        <v>0</v>
      </c>
      <c r="N29" s="342">
        <v>0</v>
      </c>
      <c r="O29" s="342">
        <v>0</v>
      </c>
      <c r="P29" s="342">
        <v>0</v>
      </c>
      <c r="Q29" s="342">
        <v>0</v>
      </c>
      <c r="R29" s="342">
        <v>0</v>
      </c>
      <c r="S29" s="342">
        <v>0</v>
      </c>
      <c r="T29" s="342">
        <v>0</v>
      </c>
      <c r="U29" s="342">
        <v>0</v>
      </c>
      <c r="V29" s="342" t="str">
        <f>'№2 ИП ТС'!A34</f>
        <v>2.4</v>
      </c>
      <c r="W29" s="332"/>
    </row>
    <row r="30" spans="1:24" ht="56.25" x14ac:dyDescent="0.3">
      <c r="A30" s="344" t="s">
        <v>644</v>
      </c>
      <c r="B30" s="341" t="str">
        <f>'№2 ИП ТС'!B35</f>
        <v xml:space="preserve"> Строительство сетей водоотведения в п. Верхний Ландех, в районе д. 1А по ул. Новая</v>
      </c>
      <c r="C30" s="342">
        <f>'№2 ИП ТС'!R35</f>
        <v>443.54</v>
      </c>
      <c r="D30" s="345">
        <f t="shared" si="22"/>
        <v>443.54</v>
      </c>
      <c r="E30" s="342">
        <v>0</v>
      </c>
      <c r="F30" s="345">
        <f t="shared" si="23"/>
        <v>443.54</v>
      </c>
      <c r="G30" s="342">
        <v>0</v>
      </c>
      <c r="H30" s="345">
        <f t="shared" si="24"/>
        <v>443.54</v>
      </c>
      <c r="I30" s="342">
        <v>0</v>
      </c>
      <c r="J30" s="342">
        <v>0</v>
      </c>
      <c r="K30" s="342">
        <v>0</v>
      </c>
      <c r="L30" s="342">
        <v>0</v>
      </c>
      <c r="M30" s="342">
        <v>0</v>
      </c>
      <c r="N30" s="342">
        <v>0</v>
      </c>
      <c r="O30" s="342">
        <v>0</v>
      </c>
      <c r="P30" s="342">
        <v>0</v>
      </c>
      <c r="Q30" s="342">
        <v>0</v>
      </c>
      <c r="R30" s="342">
        <v>0</v>
      </c>
      <c r="S30" s="342">
        <v>0</v>
      </c>
      <c r="T30" s="342">
        <v>0</v>
      </c>
      <c r="U30" s="342">
        <v>0</v>
      </c>
      <c r="V30" s="342" t="str">
        <f>'№2 ИП ТС'!A35</f>
        <v>2.5</v>
      </c>
      <c r="W30" s="332"/>
    </row>
    <row r="31" spans="1:24" ht="56.25" x14ac:dyDescent="0.3">
      <c r="A31" s="344" t="s">
        <v>645</v>
      </c>
      <c r="B31" s="341" t="str">
        <f>'№2 ИП ТС'!B36</f>
        <v xml:space="preserve"> Строительство электрических сетей в п. Верхний Ландех, в районе д. 1А по ул. Новая</v>
      </c>
      <c r="C31" s="342">
        <f>'№2 ИП ТС'!R36</f>
        <v>183.6</v>
      </c>
      <c r="D31" s="345">
        <f t="shared" si="22"/>
        <v>183.6</v>
      </c>
      <c r="E31" s="342">
        <v>0</v>
      </c>
      <c r="F31" s="345">
        <f t="shared" si="23"/>
        <v>183.6</v>
      </c>
      <c r="G31" s="342">
        <v>0</v>
      </c>
      <c r="H31" s="345">
        <f t="shared" si="24"/>
        <v>183.6</v>
      </c>
      <c r="I31" s="342">
        <v>0</v>
      </c>
      <c r="J31" s="342">
        <v>0</v>
      </c>
      <c r="K31" s="342">
        <v>0</v>
      </c>
      <c r="L31" s="342">
        <v>0</v>
      </c>
      <c r="M31" s="342">
        <v>0</v>
      </c>
      <c r="N31" s="342">
        <v>0</v>
      </c>
      <c r="O31" s="342">
        <v>0</v>
      </c>
      <c r="P31" s="342">
        <v>0</v>
      </c>
      <c r="Q31" s="342">
        <v>0</v>
      </c>
      <c r="R31" s="342">
        <v>0</v>
      </c>
      <c r="S31" s="342">
        <v>0</v>
      </c>
      <c r="T31" s="342">
        <v>0</v>
      </c>
      <c r="U31" s="342">
        <v>0</v>
      </c>
      <c r="V31" s="342" t="str">
        <f>'№2 ИП ТС'!A36</f>
        <v>2.6</v>
      </c>
      <c r="W31" s="332"/>
    </row>
    <row r="32" spans="1:24" ht="93.75" x14ac:dyDescent="0.3">
      <c r="A32" s="344" t="s">
        <v>646</v>
      </c>
      <c r="B32" s="341" t="str">
        <f>'№2 ИП ТС'!B37</f>
        <v xml:space="preserve"> Строительство надземного участка тепловых сетей от БМК 2,5МВт до У-1А D=159мм L=15м в 2-х трубном исчислении в п.Верхний Ландех, в районе д. 1А по ул. Новая</v>
      </c>
      <c r="C32" s="342">
        <f>'№2 ИП ТС'!R37</f>
        <v>385.62599999999998</v>
      </c>
      <c r="D32" s="342">
        <v>0</v>
      </c>
      <c r="E32" s="345">
        <f>C32</f>
        <v>385.62599999999998</v>
      </c>
      <c r="F32" s="345">
        <f t="shared" si="23"/>
        <v>385.62599999999998</v>
      </c>
      <c r="G32" s="342">
        <v>0</v>
      </c>
      <c r="H32" s="345">
        <f t="shared" si="24"/>
        <v>385.62599999999998</v>
      </c>
      <c r="I32" s="342">
        <v>0</v>
      </c>
      <c r="J32" s="342">
        <v>0</v>
      </c>
      <c r="K32" s="342">
        <v>0</v>
      </c>
      <c r="L32" s="342">
        <v>0</v>
      </c>
      <c r="M32" s="342">
        <v>0</v>
      </c>
      <c r="N32" s="342">
        <v>0</v>
      </c>
      <c r="O32" s="342">
        <v>0</v>
      </c>
      <c r="P32" s="342">
        <v>0</v>
      </c>
      <c r="Q32" s="342">
        <v>0</v>
      </c>
      <c r="R32" s="342">
        <v>0</v>
      </c>
      <c r="S32" s="342">
        <v>0</v>
      </c>
      <c r="T32" s="342">
        <v>0</v>
      </c>
      <c r="U32" s="342">
        <v>0</v>
      </c>
      <c r="V32" s="342" t="str">
        <f>'№2 ИП ТС'!A37</f>
        <v>2.7</v>
      </c>
      <c r="W32" s="332"/>
    </row>
    <row r="33" spans="1:23" ht="56.25" x14ac:dyDescent="0.3">
      <c r="A33" s="344" t="s">
        <v>647</v>
      </c>
      <c r="B33" s="341" t="str">
        <f>'№2 ИП ТС'!B39</f>
        <v>Строительство сетей газоснабжения в п.Верхний Ландех, в районе ул. Октябрьская, д. 37А</v>
      </c>
      <c r="C33" s="342">
        <f>'№2 ИП ТС'!R39</f>
        <v>246.81399999999999</v>
      </c>
      <c r="D33" s="345">
        <f t="shared" ref="D33:D37" si="25">C33</f>
        <v>246.81399999999999</v>
      </c>
      <c r="E33" s="342">
        <v>0</v>
      </c>
      <c r="F33" s="345">
        <f t="shared" si="23"/>
        <v>246.81399999999999</v>
      </c>
      <c r="G33" s="342">
        <v>0</v>
      </c>
      <c r="H33" s="345">
        <f t="shared" si="24"/>
        <v>246.81399999999999</v>
      </c>
      <c r="I33" s="342">
        <v>0</v>
      </c>
      <c r="J33" s="342">
        <v>0</v>
      </c>
      <c r="K33" s="342">
        <v>0</v>
      </c>
      <c r="L33" s="342">
        <v>0</v>
      </c>
      <c r="M33" s="342">
        <v>0</v>
      </c>
      <c r="N33" s="342">
        <v>0</v>
      </c>
      <c r="O33" s="342">
        <v>0</v>
      </c>
      <c r="P33" s="342">
        <v>0</v>
      </c>
      <c r="Q33" s="342">
        <v>0</v>
      </c>
      <c r="R33" s="342">
        <v>0</v>
      </c>
      <c r="S33" s="342">
        <v>0</v>
      </c>
      <c r="T33" s="342">
        <v>0</v>
      </c>
      <c r="U33" s="342">
        <v>0</v>
      </c>
      <c r="V33" s="342" t="str">
        <f>'№2 ИП ТС'!A39</f>
        <v>2.9</v>
      </c>
      <c r="W33" s="332"/>
    </row>
    <row r="34" spans="1:23" ht="56.25" x14ac:dyDescent="0.3">
      <c r="A34" s="344" t="s">
        <v>648</v>
      </c>
      <c r="B34" s="341" t="str">
        <f>'№2 ИП ТС'!B40</f>
        <v>Строительство ГРПШ пропускной способностью 100 м3/час в п.Верхний Ландех, в районе ул. Октябрьская, д. 37А</v>
      </c>
      <c r="C34" s="342">
        <f>'№2 ИП ТС'!R40</f>
        <v>331.10500000000002</v>
      </c>
      <c r="D34" s="345">
        <f t="shared" si="25"/>
        <v>331.10500000000002</v>
      </c>
      <c r="E34" s="342">
        <v>0</v>
      </c>
      <c r="F34" s="345">
        <f t="shared" si="23"/>
        <v>331.10500000000002</v>
      </c>
      <c r="G34" s="342">
        <v>0</v>
      </c>
      <c r="H34" s="345">
        <f t="shared" si="24"/>
        <v>331.10500000000002</v>
      </c>
      <c r="I34" s="342">
        <v>0</v>
      </c>
      <c r="J34" s="342">
        <v>0</v>
      </c>
      <c r="K34" s="342">
        <v>0</v>
      </c>
      <c r="L34" s="342">
        <v>0</v>
      </c>
      <c r="M34" s="342">
        <v>0</v>
      </c>
      <c r="N34" s="342">
        <v>0</v>
      </c>
      <c r="O34" s="342">
        <v>0</v>
      </c>
      <c r="P34" s="342">
        <v>0</v>
      </c>
      <c r="Q34" s="342">
        <v>0</v>
      </c>
      <c r="R34" s="342">
        <v>0</v>
      </c>
      <c r="S34" s="342">
        <v>0</v>
      </c>
      <c r="T34" s="342">
        <v>0</v>
      </c>
      <c r="U34" s="342">
        <v>0</v>
      </c>
      <c r="V34" s="342" t="str">
        <f>'№2 ИП ТС'!A40</f>
        <v>2.10</v>
      </c>
      <c r="W34" s="332"/>
    </row>
    <row r="35" spans="1:23" ht="56.25" x14ac:dyDescent="0.3">
      <c r="A35" s="344" t="s">
        <v>649</v>
      </c>
      <c r="B35" s="341" t="str">
        <f>'№2 ИП ТС'!B41</f>
        <v>Строительство сетей водоснабжения в п.Верхний Ландех, в районе ул. Октябрьская, д. 37А</v>
      </c>
      <c r="C35" s="342">
        <f>'№2 ИП ТС'!R41</f>
        <v>438.80399999999997</v>
      </c>
      <c r="D35" s="345">
        <f t="shared" si="25"/>
        <v>438.80399999999997</v>
      </c>
      <c r="E35" s="342">
        <v>0</v>
      </c>
      <c r="F35" s="345">
        <f t="shared" si="23"/>
        <v>438.80399999999997</v>
      </c>
      <c r="G35" s="342">
        <v>0</v>
      </c>
      <c r="H35" s="345">
        <f t="shared" si="24"/>
        <v>438.80399999999997</v>
      </c>
      <c r="I35" s="342">
        <v>0</v>
      </c>
      <c r="J35" s="342">
        <v>0</v>
      </c>
      <c r="K35" s="342">
        <v>0</v>
      </c>
      <c r="L35" s="342">
        <v>0</v>
      </c>
      <c r="M35" s="342">
        <v>0</v>
      </c>
      <c r="N35" s="342">
        <v>0</v>
      </c>
      <c r="O35" s="342">
        <v>0</v>
      </c>
      <c r="P35" s="342">
        <v>0</v>
      </c>
      <c r="Q35" s="342">
        <v>0</v>
      </c>
      <c r="R35" s="342">
        <v>0</v>
      </c>
      <c r="S35" s="342">
        <v>0</v>
      </c>
      <c r="T35" s="342">
        <v>0</v>
      </c>
      <c r="U35" s="342">
        <v>0</v>
      </c>
      <c r="V35" s="342" t="str">
        <f>'№2 ИП ТС'!A41</f>
        <v>2.11</v>
      </c>
      <c r="W35" s="332"/>
    </row>
    <row r="36" spans="1:23" ht="56.25" x14ac:dyDescent="0.3">
      <c r="A36" s="344" t="s">
        <v>650</v>
      </c>
      <c r="B36" s="341" t="str">
        <f>'№2 ИП ТС'!B42</f>
        <v>Строительство сетей водоотведения в п.Верхний Ландех, в районе ул. Октябрьская, д. 37А</v>
      </c>
      <c r="C36" s="342">
        <f>'№2 ИП ТС'!R42</f>
        <v>443.54</v>
      </c>
      <c r="D36" s="345">
        <f t="shared" si="25"/>
        <v>443.54</v>
      </c>
      <c r="E36" s="342">
        <v>0</v>
      </c>
      <c r="F36" s="345">
        <f t="shared" si="23"/>
        <v>443.54</v>
      </c>
      <c r="G36" s="342">
        <v>0</v>
      </c>
      <c r="H36" s="345">
        <f t="shared" si="24"/>
        <v>443.54</v>
      </c>
      <c r="I36" s="342">
        <v>0</v>
      </c>
      <c r="J36" s="342">
        <v>0</v>
      </c>
      <c r="K36" s="342">
        <v>0</v>
      </c>
      <c r="L36" s="342">
        <v>0</v>
      </c>
      <c r="M36" s="342">
        <v>0</v>
      </c>
      <c r="N36" s="342">
        <v>0</v>
      </c>
      <c r="O36" s="342">
        <v>0</v>
      </c>
      <c r="P36" s="342">
        <v>0</v>
      </c>
      <c r="Q36" s="342">
        <v>0</v>
      </c>
      <c r="R36" s="342">
        <v>0</v>
      </c>
      <c r="S36" s="342">
        <v>0</v>
      </c>
      <c r="T36" s="342">
        <v>0</v>
      </c>
      <c r="U36" s="342">
        <v>0</v>
      </c>
      <c r="V36" s="342" t="str">
        <f>'№2 ИП ТС'!A42</f>
        <v>2.12</v>
      </c>
      <c r="W36" s="332"/>
    </row>
    <row r="37" spans="1:23" ht="56.25" x14ac:dyDescent="0.3">
      <c r="A37" s="344" t="s">
        <v>651</v>
      </c>
      <c r="B37" s="341" t="str">
        <f>'№2 ИП ТС'!B43</f>
        <v>Строительство электрических сетей в п.Верхний Ландех, в районе ул. Октябрьская, д. 37А</v>
      </c>
      <c r="C37" s="342">
        <f>'№2 ИП ТС'!R43</f>
        <v>183.6</v>
      </c>
      <c r="D37" s="345">
        <f t="shared" si="25"/>
        <v>183.6</v>
      </c>
      <c r="E37" s="342">
        <v>0</v>
      </c>
      <c r="F37" s="345">
        <f t="shared" si="23"/>
        <v>183.6</v>
      </c>
      <c r="G37" s="342">
        <v>0</v>
      </c>
      <c r="H37" s="345">
        <f t="shared" si="24"/>
        <v>183.6</v>
      </c>
      <c r="I37" s="342">
        <v>0</v>
      </c>
      <c r="J37" s="342">
        <v>0</v>
      </c>
      <c r="K37" s="342">
        <v>0</v>
      </c>
      <c r="L37" s="342">
        <v>0</v>
      </c>
      <c r="M37" s="342">
        <v>0</v>
      </c>
      <c r="N37" s="342">
        <v>0</v>
      </c>
      <c r="O37" s="342">
        <v>0</v>
      </c>
      <c r="P37" s="342">
        <v>0</v>
      </c>
      <c r="Q37" s="342">
        <v>0</v>
      </c>
      <c r="R37" s="342">
        <v>0</v>
      </c>
      <c r="S37" s="342">
        <v>0</v>
      </c>
      <c r="T37" s="342">
        <v>0</v>
      </c>
      <c r="U37" s="342">
        <v>0</v>
      </c>
      <c r="V37" s="342" t="str">
        <f>'№2 ИП ТС'!A43</f>
        <v>2.13</v>
      </c>
      <c r="W37" s="332"/>
    </row>
    <row r="38" spans="1:23" ht="93.75" x14ac:dyDescent="0.3">
      <c r="A38" s="344" t="s">
        <v>652</v>
      </c>
      <c r="B38" s="341" t="str">
        <f>'№2 ИП ТС'!B44</f>
        <v>Строительство надземного участка тепловых сетей от БМК 0,4МВт до У-1Б, D=108мм, L=35м (в 2-х трубном исчислении) в п. Верхний Ландех, в районе ул. Октябрьская, д. 37А</v>
      </c>
      <c r="C38" s="342">
        <f>'№2 ИП ТС'!R44</f>
        <v>686.88499999999999</v>
      </c>
      <c r="D38" s="342">
        <v>0</v>
      </c>
      <c r="E38" s="345">
        <f>C38</f>
        <v>686.88499999999999</v>
      </c>
      <c r="F38" s="345">
        <f t="shared" si="23"/>
        <v>686.88499999999999</v>
      </c>
      <c r="G38" s="342">
        <v>0</v>
      </c>
      <c r="H38" s="345">
        <f t="shared" si="24"/>
        <v>686.88499999999999</v>
      </c>
      <c r="I38" s="342">
        <v>0</v>
      </c>
      <c r="J38" s="342">
        <v>0</v>
      </c>
      <c r="K38" s="342">
        <v>0</v>
      </c>
      <c r="L38" s="342">
        <v>0</v>
      </c>
      <c r="M38" s="342">
        <v>0</v>
      </c>
      <c r="N38" s="342">
        <v>0</v>
      </c>
      <c r="O38" s="342">
        <v>0</v>
      </c>
      <c r="P38" s="342">
        <v>0</v>
      </c>
      <c r="Q38" s="342">
        <v>0</v>
      </c>
      <c r="R38" s="342">
        <v>0</v>
      </c>
      <c r="S38" s="342">
        <v>0</v>
      </c>
      <c r="T38" s="342">
        <v>0</v>
      </c>
      <c r="U38" s="342">
        <v>0</v>
      </c>
      <c r="V38" s="342" t="str">
        <f>'№2 ИП ТС'!A44</f>
        <v>2.14</v>
      </c>
      <c r="W38" s="332"/>
    </row>
    <row r="39" spans="1:23" ht="56.25" x14ac:dyDescent="0.3">
      <c r="A39" s="344" t="s">
        <v>653</v>
      </c>
      <c r="B39" s="341" t="str">
        <f>'№2 ИП ТС'!B45</f>
        <v xml:space="preserve">Строительство БМК мощностью 2,0 МВт в п.Верхний Ландех, в районе ул. Строителей, д. 22       </v>
      </c>
      <c r="C39" s="342">
        <f>'№2 ИП ТС'!R45</f>
        <v>22835.973999999998</v>
      </c>
      <c r="D39" s="345">
        <f>C39</f>
        <v>22835.973999999998</v>
      </c>
      <c r="E39" s="342">
        <v>0</v>
      </c>
      <c r="F39" s="345">
        <f t="shared" si="23"/>
        <v>22835.973999999998</v>
      </c>
      <c r="G39" s="342">
        <v>0</v>
      </c>
      <c r="H39" s="345">
        <f t="shared" si="24"/>
        <v>22835.973999999998</v>
      </c>
      <c r="I39" s="342">
        <v>0</v>
      </c>
      <c r="J39" s="342">
        <v>0</v>
      </c>
      <c r="K39" s="342">
        <v>0</v>
      </c>
      <c r="L39" s="342">
        <v>0</v>
      </c>
      <c r="M39" s="342">
        <v>0</v>
      </c>
      <c r="N39" s="342">
        <v>0</v>
      </c>
      <c r="O39" s="342">
        <v>0</v>
      </c>
      <c r="P39" s="342">
        <v>0</v>
      </c>
      <c r="Q39" s="342">
        <v>0</v>
      </c>
      <c r="R39" s="342">
        <v>0</v>
      </c>
      <c r="S39" s="342">
        <v>0</v>
      </c>
      <c r="T39" s="342">
        <v>0</v>
      </c>
      <c r="U39" s="342">
        <v>0</v>
      </c>
      <c r="V39" s="342" t="str">
        <f>'№2 ИП ТС'!A45</f>
        <v>2.15</v>
      </c>
      <c r="W39" s="332"/>
    </row>
    <row r="40" spans="1:23" ht="56.25" x14ac:dyDescent="0.3">
      <c r="A40" s="344" t="s">
        <v>654</v>
      </c>
      <c r="B40" s="341" t="str">
        <f>'№2 ИП ТС'!B46</f>
        <v>Строительство сетей газоснабжения в п. Верхний Ландех, в районе ул. Строителей, д. 22</v>
      </c>
      <c r="C40" s="342">
        <f>'№2 ИП ТС'!R46</f>
        <v>261.084</v>
      </c>
      <c r="D40" s="345">
        <f t="shared" ref="D40:D44" si="26">C40</f>
        <v>261.084</v>
      </c>
      <c r="E40" s="342">
        <v>0</v>
      </c>
      <c r="F40" s="345">
        <f t="shared" si="23"/>
        <v>261.084</v>
      </c>
      <c r="G40" s="342">
        <v>0</v>
      </c>
      <c r="H40" s="345">
        <f t="shared" si="24"/>
        <v>261.084</v>
      </c>
      <c r="I40" s="342">
        <v>0</v>
      </c>
      <c r="J40" s="342">
        <v>0</v>
      </c>
      <c r="K40" s="342">
        <v>0</v>
      </c>
      <c r="L40" s="342">
        <v>0</v>
      </c>
      <c r="M40" s="342">
        <v>0</v>
      </c>
      <c r="N40" s="342">
        <v>0</v>
      </c>
      <c r="O40" s="342">
        <v>0</v>
      </c>
      <c r="P40" s="342">
        <v>0</v>
      </c>
      <c r="Q40" s="342">
        <v>0</v>
      </c>
      <c r="R40" s="342">
        <v>0</v>
      </c>
      <c r="S40" s="342">
        <v>0</v>
      </c>
      <c r="T40" s="342">
        <v>0</v>
      </c>
      <c r="U40" s="342">
        <v>0</v>
      </c>
      <c r="V40" s="342" t="str">
        <f>'№2 ИП ТС'!A46</f>
        <v>2.16</v>
      </c>
      <c r="W40" s="332"/>
    </row>
    <row r="41" spans="1:23" ht="56.25" x14ac:dyDescent="0.3">
      <c r="A41" s="344" t="s">
        <v>655</v>
      </c>
      <c r="B41" s="341" t="str">
        <f>'№2 ИП ТС'!B47</f>
        <v>Строительство ГРПШ пропускной способностью 250 м3/час в п. Верхний Ландех, в районе ул. Строителей, д. 22</v>
      </c>
      <c r="C41" s="342">
        <f>'№2 ИП ТС'!R47</f>
        <v>278.892</v>
      </c>
      <c r="D41" s="345">
        <f t="shared" si="26"/>
        <v>278.892</v>
      </c>
      <c r="E41" s="342">
        <v>0</v>
      </c>
      <c r="F41" s="345">
        <f t="shared" si="23"/>
        <v>278.892</v>
      </c>
      <c r="G41" s="342">
        <v>0</v>
      </c>
      <c r="H41" s="345">
        <f t="shared" si="24"/>
        <v>278.892</v>
      </c>
      <c r="I41" s="342">
        <v>0</v>
      </c>
      <c r="J41" s="342">
        <v>0</v>
      </c>
      <c r="K41" s="342">
        <v>0</v>
      </c>
      <c r="L41" s="342">
        <v>0</v>
      </c>
      <c r="M41" s="342">
        <v>0</v>
      </c>
      <c r="N41" s="342">
        <v>0</v>
      </c>
      <c r="O41" s="342">
        <v>0</v>
      </c>
      <c r="P41" s="342">
        <v>0</v>
      </c>
      <c r="Q41" s="342">
        <v>0</v>
      </c>
      <c r="R41" s="342">
        <v>0</v>
      </c>
      <c r="S41" s="342">
        <v>0</v>
      </c>
      <c r="T41" s="342">
        <v>0</v>
      </c>
      <c r="U41" s="342">
        <v>0</v>
      </c>
      <c r="V41" s="342" t="str">
        <f>'№2 ИП ТС'!A47</f>
        <v>2.17</v>
      </c>
      <c r="W41" s="332"/>
    </row>
    <row r="42" spans="1:23" ht="56.25" x14ac:dyDescent="0.3">
      <c r="A42" s="344" t="s">
        <v>656</v>
      </c>
      <c r="B42" s="341" t="str">
        <f>'№2 ИП ТС'!B48</f>
        <v>Строительство сетей водоснабжения в п. Верхний Ландех, в районе ул. Строителей, д. 22</v>
      </c>
      <c r="C42" s="342">
        <f>'№2 ИП ТС'!R48</f>
        <v>438.80399999999997</v>
      </c>
      <c r="D42" s="345">
        <f t="shared" si="26"/>
        <v>438.80399999999997</v>
      </c>
      <c r="E42" s="342">
        <v>0</v>
      </c>
      <c r="F42" s="345">
        <f t="shared" si="23"/>
        <v>438.80399999999997</v>
      </c>
      <c r="G42" s="342">
        <v>0</v>
      </c>
      <c r="H42" s="345">
        <f t="shared" si="24"/>
        <v>438.80399999999997</v>
      </c>
      <c r="I42" s="342">
        <v>0</v>
      </c>
      <c r="J42" s="342">
        <v>0</v>
      </c>
      <c r="K42" s="342">
        <v>0</v>
      </c>
      <c r="L42" s="342">
        <v>0</v>
      </c>
      <c r="M42" s="342">
        <v>0</v>
      </c>
      <c r="N42" s="342">
        <v>0</v>
      </c>
      <c r="O42" s="342">
        <v>0</v>
      </c>
      <c r="P42" s="342">
        <v>0</v>
      </c>
      <c r="Q42" s="342">
        <v>0</v>
      </c>
      <c r="R42" s="342">
        <v>0</v>
      </c>
      <c r="S42" s="342">
        <v>0</v>
      </c>
      <c r="T42" s="342">
        <v>0</v>
      </c>
      <c r="U42" s="342">
        <v>0</v>
      </c>
      <c r="V42" s="342" t="str">
        <f>'№2 ИП ТС'!A48</f>
        <v>2.18</v>
      </c>
      <c r="W42" s="332"/>
    </row>
    <row r="43" spans="1:23" ht="56.25" x14ac:dyDescent="0.3">
      <c r="A43" s="344" t="s">
        <v>657</v>
      </c>
      <c r="B43" s="341" t="str">
        <f>'№2 ИП ТС'!B49</f>
        <v>Строительство сетей водоотведения в п.Верхний Ландех, в районе ул. Строителей, д. 22</v>
      </c>
      <c r="C43" s="342">
        <f>'№2 ИП ТС'!R49</f>
        <v>443.54</v>
      </c>
      <c r="D43" s="345">
        <f t="shared" si="26"/>
        <v>443.54</v>
      </c>
      <c r="E43" s="342">
        <v>0</v>
      </c>
      <c r="F43" s="345">
        <f t="shared" si="23"/>
        <v>443.54</v>
      </c>
      <c r="G43" s="342">
        <v>0</v>
      </c>
      <c r="H43" s="345">
        <f t="shared" si="24"/>
        <v>443.54</v>
      </c>
      <c r="I43" s="342">
        <v>0</v>
      </c>
      <c r="J43" s="342">
        <v>0</v>
      </c>
      <c r="K43" s="342">
        <v>0</v>
      </c>
      <c r="L43" s="342">
        <v>0</v>
      </c>
      <c r="M43" s="342">
        <v>0</v>
      </c>
      <c r="N43" s="342">
        <v>0</v>
      </c>
      <c r="O43" s="342">
        <v>0</v>
      </c>
      <c r="P43" s="342">
        <v>0</v>
      </c>
      <c r="Q43" s="342">
        <v>0</v>
      </c>
      <c r="R43" s="342">
        <v>0</v>
      </c>
      <c r="S43" s="342">
        <v>0</v>
      </c>
      <c r="T43" s="342">
        <v>0</v>
      </c>
      <c r="U43" s="342">
        <v>0</v>
      </c>
      <c r="V43" s="342" t="str">
        <f>'№2 ИП ТС'!A49</f>
        <v>2.19</v>
      </c>
      <c r="W43" s="332"/>
    </row>
    <row r="44" spans="1:23" ht="56.25" x14ac:dyDescent="0.3">
      <c r="A44" s="344" t="s">
        <v>658</v>
      </c>
      <c r="B44" s="341" t="str">
        <f>'№2 ИП ТС'!B50</f>
        <v>Строительство электрических сетей в п. Верхний Ландех, в районе ул. Строителей, д. 22</v>
      </c>
      <c r="C44" s="342">
        <f>'№2 ИП ТС'!R50</f>
        <v>183.6</v>
      </c>
      <c r="D44" s="345">
        <f t="shared" si="26"/>
        <v>183.6</v>
      </c>
      <c r="E44" s="342">
        <v>0</v>
      </c>
      <c r="F44" s="345">
        <f t="shared" si="23"/>
        <v>183.6</v>
      </c>
      <c r="G44" s="342">
        <v>0</v>
      </c>
      <c r="H44" s="345">
        <f t="shared" si="24"/>
        <v>183.6</v>
      </c>
      <c r="I44" s="342">
        <v>0</v>
      </c>
      <c r="J44" s="342">
        <v>0</v>
      </c>
      <c r="K44" s="342">
        <v>0</v>
      </c>
      <c r="L44" s="342">
        <v>0</v>
      </c>
      <c r="M44" s="342">
        <v>0</v>
      </c>
      <c r="N44" s="342">
        <v>0</v>
      </c>
      <c r="O44" s="342">
        <v>0</v>
      </c>
      <c r="P44" s="342">
        <v>0</v>
      </c>
      <c r="Q44" s="342">
        <v>0</v>
      </c>
      <c r="R44" s="342">
        <v>0</v>
      </c>
      <c r="S44" s="342">
        <v>0</v>
      </c>
      <c r="T44" s="342">
        <v>0</v>
      </c>
      <c r="U44" s="342">
        <v>0</v>
      </c>
      <c r="V44" s="342" t="str">
        <f>'№2 ИП ТС'!A50</f>
        <v>2.20</v>
      </c>
      <c r="W44" s="332"/>
    </row>
    <row r="45" spans="1:23" ht="75" x14ac:dyDescent="0.3">
      <c r="A45" s="344" t="s">
        <v>659</v>
      </c>
      <c r="B45" s="341" t="str">
        <f>'№2 ИП ТС'!B51</f>
        <v>Строительство тепловых сетей в п. Верхний Ландех, в районе ул. Строителей, д. 22,от БМК до У-10Б, L=50м, Ду150, надземная прокладка</v>
      </c>
      <c r="C45" s="342">
        <f>'№2 ИП ТС'!R51</f>
        <v>1285.4100000000001</v>
      </c>
      <c r="D45" s="342">
        <v>0</v>
      </c>
      <c r="E45" s="345">
        <f>C45</f>
        <v>1285.4100000000001</v>
      </c>
      <c r="F45" s="345">
        <f t="shared" si="23"/>
        <v>1285.4100000000001</v>
      </c>
      <c r="G45" s="342">
        <v>0</v>
      </c>
      <c r="H45" s="345">
        <f t="shared" si="24"/>
        <v>1285.4100000000001</v>
      </c>
      <c r="I45" s="342">
        <v>0</v>
      </c>
      <c r="J45" s="342">
        <v>0</v>
      </c>
      <c r="K45" s="342">
        <v>0</v>
      </c>
      <c r="L45" s="342">
        <v>0</v>
      </c>
      <c r="M45" s="342">
        <v>0</v>
      </c>
      <c r="N45" s="342">
        <v>0</v>
      </c>
      <c r="O45" s="342">
        <v>0</v>
      </c>
      <c r="P45" s="342">
        <v>0</v>
      </c>
      <c r="Q45" s="342">
        <v>0</v>
      </c>
      <c r="R45" s="342">
        <v>0</v>
      </c>
      <c r="S45" s="342">
        <v>0</v>
      </c>
      <c r="T45" s="342">
        <v>0</v>
      </c>
      <c r="U45" s="342">
        <v>0</v>
      </c>
      <c r="V45" s="342" t="str">
        <f>'№2 ИП ТС'!A51</f>
        <v>2.21</v>
      </c>
      <c r="W45" s="332"/>
    </row>
    <row r="46" spans="1:23" ht="93.75" x14ac:dyDescent="0.3">
      <c r="A46" s="344" t="s">
        <v>660</v>
      </c>
      <c r="B46" s="341" t="str">
        <f>'№2 ИП ТС'!B52</f>
        <v>Строительство надземного участка тепловой сети от У-10Б до У-10, D=133мм, L=17м (в 2-х трубном исчислении) в п. Верхний Ландех, в районе ул. Строителей, д. 22</v>
      </c>
      <c r="C46" s="342">
        <f>'№2 ИП ТС'!R52</f>
        <v>392.89600000000002</v>
      </c>
      <c r="D46" s="342">
        <v>0</v>
      </c>
      <c r="E46" s="345">
        <f t="shared" ref="E46:E47" si="27">C46</f>
        <v>392.89600000000002</v>
      </c>
      <c r="F46" s="345">
        <f t="shared" si="23"/>
        <v>392.89600000000002</v>
      </c>
      <c r="G46" s="342">
        <v>0</v>
      </c>
      <c r="H46" s="345">
        <f t="shared" si="24"/>
        <v>392.89600000000002</v>
      </c>
      <c r="I46" s="342">
        <v>0</v>
      </c>
      <c r="J46" s="342">
        <v>0</v>
      </c>
      <c r="K46" s="342">
        <v>0</v>
      </c>
      <c r="L46" s="342">
        <v>0</v>
      </c>
      <c r="M46" s="342">
        <v>0</v>
      </c>
      <c r="N46" s="342">
        <v>0</v>
      </c>
      <c r="O46" s="342">
        <v>0</v>
      </c>
      <c r="P46" s="342">
        <v>0</v>
      </c>
      <c r="Q46" s="342">
        <v>0</v>
      </c>
      <c r="R46" s="342">
        <v>0</v>
      </c>
      <c r="S46" s="342">
        <v>0</v>
      </c>
      <c r="T46" s="342">
        <v>0</v>
      </c>
      <c r="U46" s="342">
        <v>0</v>
      </c>
      <c r="V46" s="342" t="str">
        <f>'№2 ИП ТС'!A52</f>
        <v>2.22</v>
      </c>
      <c r="W46" s="332"/>
    </row>
    <row r="47" spans="1:23" ht="93.75" x14ac:dyDescent="0.3">
      <c r="A47" s="344" t="s">
        <v>661</v>
      </c>
      <c r="B47" s="341" t="str">
        <f>'№2 ИП ТС'!B53</f>
        <v>Строительство надземного участка тепловой сети от У-10Б до У-10А, D=108 мм, L=22м (в 2-х трубном исчислении) в п. Верхний Ландех, в районе ул. Строителей, д. 22</v>
      </c>
      <c r="C47" s="342">
        <f>'№2 ИП ТС'!R53</f>
        <v>458.15800000000002</v>
      </c>
      <c r="D47" s="342">
        <v>0</v>
      </c>
      <c r="E47" s="345">
        <f t="shared" si="27"/>
        <v>458.15800000000002</v>
      </c>
      <c r="F47" s="345">
        <f t="shared" si="23"/>
        <v>458.15800000000002</v>
      </c>
      <c r="G47" s="342">
        <v>0</v>
      </c>
      <c r="H47" s="345">
        <f t="shared" si="24"/>
        <v>458.15800000000002</v>
      </c>
      <c r="I47" s="342">
        <v>0</v>
      </c>
      <c r="J47" s="342">
        <v>0</v>
      </c>
      <c r="K47" s="342">
        <v>0</v>
      </c>
      <c r="L47" s="342">
        <v>0</v>
      </c>
      <c r="M47" s="342">
        <v>0</v>
      </c>
      <c r="N47" s="342">
        <v>0</v>
      </c>
      <c r="O47" s="342">
        <v>0</v>
      </c>
      <c r="P47" s="342">
        <v>0</v>
      </c>
      <c r="Q47" s="342">
        <v>0</v>
      </c>
      <c r="R47" s="342">
        <v>0</v>
      </c>
      <c r="S47" s="342">
        <v>0</v>
      </c>
      <c r="T47" s="342">
        <v>0</v>
      </c>
      <c r="U47" s="342">
        <v>0</v>
      </c>
      <c r="V47" s="342" t="str">
        <f>'№2 ИП ТС'!A53</f>
        <v>2.23</v>
      </c>
      <c r="W47" s="332"/>
    </row>
    <row r="48" spans="1:23" ht="56.25" x14ac:dyDescent="0.3">
      <c r="A48" s="344" t="s">
        <v>662</v>
      </c>
      <c r="B48" s="341" t="str">
        <f>'№2 ИП ТС'!B55</f>
        <v>Строительство сетей газоснабжения в п. Верхний Ландех, в районе пер. Школьный, д. 2</v>
      </c>
      <c r="C48" s="342">
        <f>'№2 ИП ТС'!R55</f>
        <v>246.81399999999999</v>
      </c>
      <c r="D48" s="345">
        <f t="shared" ref="D48:D52" si="28">C48</f>
        <v>246.81399999999999</v>
      </c>
      <c r="E48" s="342">
        <v>0</v>
      </c>
      <c r="F48" s="345">
        <f t="shared" si="23"/>
        <v>246.81399999999999</v>
      </c>
      <c r="G48" s="342">
        <v>0</v>
      </c>
      <c r="H48" s="345">
        <f t="shared" si="24"/>
        <v>246.81399999999999</v>
      </c>
      <c r="I48" s="342">
        <v>0</v>
      </c>
      <c r="J48" s="342">
        <v>0</v>
      </c>
      <c r="K48" s="342">
        <v>0</v>
      </c>
      <c r="L48" s="342">
        <v>0</v>
      </c>
      <c r="M48" s="342">
        <v>0</v>
      </c>
      <c r="N48" s="342">
        <v>0</v>
      </c>
      <c r="O48" s="342">
        <v>0</v>
      </c>
      <c r="P48" s="342">
        <v>0</v>
      </c>
      <c r="Q48" s="342">
        <v>0</v>
      </c>
      <c r="R48" s="342">
        <v>0</v>
      </c>
      <c r="S48" s="342">
        <v>0</v>
      </c>
      <c r="T48" s="342">
        <v>0</v>
      </c>
      <c r="U48" s="342">
        <v>0</v>
      </c>
      <c r="V48" s="342" t="str">
        <f>'№2 ИП ТС'!A55</f>
        <v>2.25</v>
      </c>
      <c r="W48" s="332"/>
    </row>
    <row r="49" spans="1:23" ht="56.25" x14ac:dyDescent="0.3">
      <c r="A49" s="344" t="s">
        <v>663</v>
      </c>
      <c r="B49" s="341" t="str">
        <f>'№2 ИП ТС'!B56</f>
        <v>Строительство ГРПШ пропускной способностью 100 м3/час в п. Верхний Ландех, в районе пер. Школьный, д. 2</v>
      </c>
      <c r="C49" s="342">
        <f>'№2 ИП ТС'!R56</f>
        <v>331.10500000000002</v>
      </c>
      <c r="D49" s="345">
        <f t="shared" si="28"/>
        <v>331.10500000000002</v>
      </c>
      <c r="E49" s="342">
        <v>0</v>
      </c>
      <c r="F49" s="345">
        <f t="shared" si="23"/>
        <v>331.10500000000002</v>
      </c>
      <c r="G49" s="342">
        <v>0</v>
      </c>
      <c r="H49" s="345">
        <f t="shared" si="24"/>
        <v>331.10500000000002</v>
      </c>
      <c r="I49" s="342">
        <v>0</v>
      </c>
      <c r="J49" s="342">
        <v>0</v>
      </c>
      <c r="K49" s="342">
        <v>0</v>
      </c>
      <c r="L49" s="342">
        <v>0</v>
      </c>
      <c r="M49" s="342">
        <v>0</v>
      </c>
      <c r="N49" s="342">
        <v>0</v>
      </c>
      <c r="O49" s="342">
        <v>0</v>
      </c>
      <c r="P49" s="342">
        <v>0</v>
      </c>
      <c r="Q49" s="342">
        <v>0</v>
      </c>
      <c r="R49" s="342">
        <v>0</v>
      </c>
      <c r="S49" s="342">
        <v>0</v>
      </c>
      <c r="T49" s="342">
        <v>0</v>
      </c>
      <c r="U49" s="342">
        <v>0</v>
      </c>
      <c r="V49" s="342" t="str">
        <f>'№2 ИП ТС'!A56</f>
        <v>2.26</v>
      </c>
      <c r="W49" s="332"/>
    </row>
    <row r="50" spans="1:23" ht="56.25" x14ac:dyDescent="0.3">
      <c r="A50" s="344" t="s">
        <v>664</v>
      </c>
      <c r="B50" s="341" t="str">
        <f>'№2 ИП ТС'!B57</f>
        <v>Строительство сетей водоснабжения в п. Верхний Ландех, в районе пер. Школьный, д. 2</v>
      </c>
      <c r="C50" s="342">
        <f>'№2 ИП ТС'!R57</f>
        <v>438.80399999999997</v>
      </c>
      <c r="D50" s="345">
        <f t="shared" si="28"/>
        <v>438.80399999999997</v>
      </c>
      <c r="E50" s="342">
        <v>0</v>
      </c>
      <c r="F50" s="345">
        <f t="shared" si="23"/>
        <v>438.80399999999997</v>
      </c>
      <c r="G50" s="342">
        <v>0</v>
      </c>
      <c r="H50" s="345">
        <f t="shared" si="24"/>
        <v>438.80399999999997</v>
      </c>
      <c r="I50" s="342">
        <v>0</v>
      </c>
      <c r="J50" s="342">
        <v>0</v>
      </c>
      <c r="K50" s="342">
        <v>0</v>
      </c>
      <c r="L50" s="342">
        <v>0</v>
      </c>
      <c r="M50" s="342">
        <v>0</v>
      </c>
      <c r="N50" s="342">
        <v>0</v>
      </c>
      <c r="O50" s="342">
        <v>0</v>
      </c>
      <c r="P50" s="342">
        <v>0</v>
      </c>
      <c r="Q50" s="342">
        <v>0</v>
      </c>
      <c r="R50" s="342">
        <v>0</v>
      </c>
      <c r="S50" s="342">
        <v>0</v>
      </c>
      <c r="T50" s="342">
        <v>0</v>
      </c>
      <c r="U50" s="342">
        <v>0</v>
      </c>
      <c r="V50" s="342" t="str">
        <f>'№2 ИП ТС'!A57</f>
        <v>2.27</v>
      </c>
      <c r="W50" s="332"/>
    </row>
    <row r="51" spans="1:23" ht="56.25" x14ac:dyDescent="0.3">
      <c r="A51" s="344" t="s">
        <v>665</v>
      </c>
      <c r="B51" s="341" t="str">
        <f>'№2 ИП ТС'!B58</f>
        <v>Строительство сетей водоотведения в п. Верхний Ландех, в районе пер. Школьный, д. 2</v>
      </c>
      <c r="C51" s="342">
        <f>'№2 ИП ТС'!R58</f>
        <v>443.54</v>
      </c>
      <c r="D51" s="345">
        <f t="shared" si="28"/>
        <v>443.54</v>
      </c>
      <c r="E51" s="342">
        <v>0</v>
      </c>
      <c r="F51" s="345">
        <f t="shared" si="23"/>
        <v>443.54</v>
      </c>
      <c r="G51" s="342">
        <v>0</v>
      </c>
      <c r="H51" s="345">
        <f t="shared" si="24"/>
        <v>443.54</v>
      </c>
      <c r="I51" s="342">
        <v>0</v>
      </c>
      <c r="J51" s="342">
        <v>0</v>
      </c>
      <c r="K51" s="342">
        <v>0</v>
      </c>
      <c r="L51" s="342">
        <v>0</v>
      </c>
      <c r="M51" s="342">
        <v>0</v>
      </c>
      <c r="N51" s="342">
        <v>0</v>
      </c>
      <c r="O51" s="342">
        <v>0</v>
      </c>
      <c r="P51" s="342">
        <v>0</v>
      </c>
      <c r="Q51" s="342">
        <v>0</v>
      </c>
      <c r="R51" s="342">
        <v>0</v>
      </c>
      <c r="S51" s="342">
        <v>0</v>
      </c>
      <c r="T51" s="342">
        <v>0</v>
      </c>
      <c r="U51" s="342">
        <v>0</v>
      </c>
      <c r="V51" s="342" t="str">
        <f>'№2 ИП ТС'!A58</f>
        <v>2.28</v>
      </c>
      <c r="W51" s="332"/>
    </row>
    <row r="52" spans="1:23" ht="56.25" x14ac:dyDescent="0.3">
      <c r="A52" s="344" t="s">
        <v>666</v>
      </c>
      <c r="B52" s="341" t="str">
        <f>'№2 ИП ТС'!B59</f>
        <v>Строительство электрических сетей в п. Верхний Ландех, в районе пер. Школьный, д. 2</v>
      </c>
      <c r="C52" s="342">
        <f>'№2 ИП ТС'!R59</f>
        <v>183.601</v>
      </c>
      <c r="D52" s="345">
        <f t="shared" si="28"/>
        <v>183.601</v>
      </c>
      <c r="E52" s="342">
        <v>0</v>
      </c>
      <c r="F52" s="345">
        <f t="shared" si="23"/>
        <v>183.601</v>
      </c>
      <c r="G52" s="342">
        <v>0</v>
      </c>
      <c r="H52" s="345">
        <f t="shared" si="24"/>
        <v>183.601</v>
      </c>
      <c r="I52" s="342">
        <v>0</v>
      </c>
      <c r="J52" s="342">
        <v>0</v>
      </c>
      <c r="K52" s="342">
        <v>0</v>
      </c>
      <c r="L52" s="342">
        <v>0</v>
      </c>
      <c r="M52" s="342">
        <v>0</v>
      </c>
      <c r="N52" s="342">
        <v>0</v>
      </c>
      <c r="O52" s="342">
        <v>0</v>
      </c>
      <c r="P52" s="342">
        <v>0</v>
      </c>
      <c r="Q52" s="342">
        <v>0</v>
      </c>
      <c r="R52" s="342">
        <v>0</v>
      </c>
      <c r="S52" s="342">
        <v>0</v>
      </c>
      <c r="T52" s="342">
        <v>0</v>
      </c>
      <c r="U52" s="342">
        <v>0</v>
      </c>
      <c r="V52" s="342" t="str">
        <f>'№2 ИП ТС'!A59</f>
        <v>2.29</v>
      </c>
      <c r="W52" s="332"/>
    </row>
    <row r="53" spans="1:23" ht="93.75" x14ac:dyDescent="0.3">
      <c r="A53" s="344" t="s">
        <v>667</v>
      </c>
      <c r="B53" s="341" t="str">
        <f>'№2 ИП ТС'!B60</f>
        <v>Строительство надземного участка тепловых сетей от БМК 0,4 МВт до У-1 D=89 мм, L=45м (в 2-х трубном исчислении) в п. Верхний Ландех в районе пер. Школьный,д. 2</v>
      </c>
      <c r="C53" s="342">
        <f>'№2 ИП ТС'!R60</f>
        <v>910.89400000000001</v>
      </c>
      <c r="D53" s="342">
        <v>0</v>
      </c>
      <c r="E53" s="345">
        <f>C53</f>
        <v>910.89400000000001</v>
      </c>
      <c r="F53" s="345">
        <f t="shared" si="23"/>
        <v>910.89400000000001</v>
      </c>
      <c r="G53" s="342">
        <v>0</v>
      </c>
      <c r="H53" s="345">
        <f t="shared" si="24"/>
        <v>910.89400000000001</v>
      </c>
      <c r="I53" s="342">
        <v>0</v>
      </c>
      <c r="J53" s="342">
        <v>0</v>
      </c>
      <c r="K53" s="342">
        <v>0</v>
      </c>
      <c r="L53" s="342">
        <v>0</v>
      </c>
      <c r="M53" s="342">
        <v>0</v>
      </c>
      <c r="N53" s="342">
        <v>0</v>
      </c>
      <c r="O53" s="342">
        <v>0</v>
      </c>
      <c r="P53" s="342">
        <v>0</v>
      </c>
      <c r="Q53" s="342">
        <v>0</v>
      </c>
      <c r="R53" s="342">
        <v>0</v>
      </c>
      <c r="S53" s="342">
        <v>0</v>
      </c>
      <c r="T53" s="342">
        <v>0</v>
      </c>
      <c r="U53" s="342">
        <v>0</v>
      </c>
      <c r="V53" s="342" t="str">
        <f>'№2 ИП ТС'!A60</f>
        <v>2.30</v>
      </c>
      <c r="W53" s="332"/>
    </row>
    <row r="54" spans="1:23" ht="75" x14ac:dyDescent="0.3">
      <c r="A54" s="344" t="s">
        <v>668</v>
      </c>
      <c r="B54" s="341" t="str">
        <f>'№2 ИП ТС'!B64</f>
        <v>Реконструкция участка сети от ТК-6 до ул. Рабочая, д. 3, Дн25 мм длиной 5 м (прокладка подземная канальная) котельная № 1 п. Верхний Ландех</v>
      </c>
      <c r="C54" s="342">
        <f>'№2 ИП ТС'!R64</f>
        <v>98.135999999999996</v>
      </c>
      <c r="D54" s="342">
        <v>0</v>
      </c>
      <c r="E54" s="345">
        <f t="shared" ref="E54:E95" si="29">C54</f>
        <v>98.135999999999996</v>
      </c>
      <c r="F54" s="345">
        <f t="shared" si="23"/>
        <v>98.135999999999996</v>
      </c>
      <c r="G54" s="342">
        <v>0</v>
      </c>
      <c r="H54" s="342">
        <v>0</v>
      </c>
      <c r="I54" s="345">
        <f>C54</f>
        <v>98.135999999999996</v>
      </c>
      <c r="J54" s="342">
        <v>0</v>
      </c>
      <c r="K54" s="342">
        <v>0</v>
      </c>
      <c r="L54" s="342">
        <v>0</v>
      </c>
      <c r="M54" s="342">
        <v>0</v>
      </c>
      <c r="N54" s="342">
        <v>0</v>
      </c>
      <c r="O54" s="342">
        <v>0</v>
      </c>
      <c r="P54" s="342">
        <v>0</v>
      </c>
      <c r="Q54" s="342">
        <v>0</v>
      </c>
      <c r="R54" s="342">
        <v>0</v>
      </c>
      <c r="S54" s="342">
        <v>0</v>
      </c>
      <c r="T54" s="342">
        <v>0</v>
      </c>
      <c r="U54" s="342">
        <v>0</v>
      </c>
      <c r="V54" s="342" t="str">
        <f>'№2 ИП ТС'!A64</f>
        <v>3.1.1</v>
      </c>
      <c r="W54" s="332"/>
    </row>
    <row r="55" spans="1:23" ht="75" x14ac:dyDescent="0.3">
      <c r="A55" s="344" t="s">
        <v>669</v>
      </c>
      <c r="B55" s="341" t="str">
        <f>'№2 ИП ТС'!B65</f>
        <v>Реконструкция участка сети от ТК-8 до ул. Рабочая, д. 9, Дн25 мм длиной 18,1 м (прокладка подземная канальная) котельная № 1 п.Верхний Ландех</v>
      </c>
      <c r="C55" s="342">
        <f>'№2 ИП ТС'!R65</f>
        <v>182.21199999999999</v>
      </c>
      <c r="D55" s="342">
        <v>0</v>
      </c>
      <c r="E55" s="345">
        <f t="shared" si="29"/>
        <v>182.21199999999999</v>
      </c>
      <c r="F55" s="345">
        <f t="shared" si="23"/>
        <v>182.21199999999999</v>
      </c>
      <c r="G55" s="342">
        <v>0</v>
      </c>
      <c r="H55" s="342">
        <v>0</v>
      </c>
      <c r="I55" s="345">
        <f t="shared" ref="I55:I77" si="30">C55</f>
        <v>182.21199999999999</v>
      </c>
      <c r="J55" s="342">
        <v>0</v>
      </c>
      <c r="K55" s="342">
        <v>0</v>
      </c>
      <c r="L55" s="342">
        <v>0</v>
      </c>
      <c r="M55" s="342">
        <v>0</v>
      </c>
      <c r="N55" s="342">
        <v>0</v>
      </c>
      <c r="O55" s="342">
        <v>0</v>
      </c>
      <c r="P55" s="342">
        <v>0</v>
      </c>
      <c r="Q55" s="342">
        <v>0</v>
      </c>
      <c r="R55" s="342">
        <v>0</v>
      </c>
      <c r="S55" s="342">
        <v>0</v>
      </c>
      <c r="T55" s="342">
        <v>0</v>
      </c>
      <c r="U55" s="342">
        <v>0</v>
      </c>
      <c r="V55" s="342" t="str">
        <f>'№2 ИП ТС'!A65</f>
        <v>3.1.2</v>
      </c>
      <c r="W55" s="332"/>
    </row>
    <row r="56" spans="1:23" ht="75" x14ac:dyDescent="0.3">
      <c r="A56" s="344" t="s">
        <v>670</v>
      </c>
      <c r="B56" s="341" t="str">
        <f>'№2 ИП ТС'!B66</f>
        <v>Реконструкция участка сети от ТК-7 до ТК-8, Дн32 мм длиной 21,4 м (надземная прокладка) котельная № 1 п. Верхний Ландех</v>
      </c>
      <c r="C56" s="342">
        <f>'№2 ИП ТС'!R66</f>
        <v>210.73</v>
      </c>
      <c r="D56" s="342">
        <v>0</v>
      </c>
      <c r="E56" s="345">
        <f t="shared" si="29"/>
        <v>210.73</v>
      </c>
      <c r="F56" s="345">
        <f t="shared" si="23"/>
        <v>210.73</v>
      </c>
      <c r="G56" s="342">
        <v>0</v>
      </c>
      <c r="H56" s="342">
        <v>0</v>
      </c>
      <c r="I56" s="345">
        <f t="shared" si="30"/>
        <v>210.73</v>
      </c>
      <c r="J56" s="342">
        <v>0</v>
      </c>
      <c r="K56" s="342">
        <v>0</v>
      </c>
      <c r="L56" s="342">
        <v>0</v>
      </c>
      <c r="M56" s="342">
        <v>0</v>
      </c>
      <c r="N56" s="342">
        <v>0</v>
      </c>
      <c r="O56" s="342">
        <v>0</v>
      </c>
      <c r="P56" s="342">
        <v>0</v>
      </c>
      <c r="Q56" s="342">
        <v>0</v>
      </c>
      <c r="R56" s="342">
        <v>0</v>
      </c>
      <c r="S56" s="342">
        <v>0</v>
      </c>
      <c r="T56" s="342">
        <v>0</v>
      </c>
      <c r="U56" s="342">
        <v>0</v>
      </c>
      <c r="V56" s="342" t="str">
        <f>'№2 ИП ТС'!A66</f>
        <v>3.1.3</v>
      </c>
      <c r="W56" s="332"/>
    </row>
    <row r="57" spans="1:23" ht="93.75" x14ac:dyDescent="0.3">
      <c r="A57" s="344" t="s">
        <v>671</v>
      </c>
      <c r="B57" s="341" t="str">
        <f>'№2 ИП ТС'!B67</f>
        <v>Реконструкция участка сети от ТК-5 до ул. Комсомольская, д. 6, Дн38 мм длиной 63,7 м (прокладка подземная канальная) котельная № 1 п. Верхний Ландех</v>
      </c>
      <c r="C57" s="342">
        <f>'№2 ИП ТС'!R67</f>
        <v>570.37099999999998</v>
      </c>
      <c r="D57" s="342">
        <v>0</v>
      </c>
      <c r="E57" s="345">
        <f t="shared" si="29"/>
        <v>570.37099999999998</v>
      </c>
      <c r="F57" s="345">
        <f t="shared" si="23"/>
        <v>570.37099999999998</v>
      </c>
      <c r="G57" s="342">
        <v>0</v>
      </c>
      <c r="H57" s="342">
        <v>0</v>
      </c>
      <c r="I57" s="345">
        <f t="shared" si="30"/>
        <v>570.37099999999998</v>
      </c>
      <c r="J57" s="342">
        <v>0</v>
      </c>
      <c r="K57" s="342">
        <v>0</v>
      </c>
      <c r="L57" s="342">
        <v>0</v>
      </c>
      <c r="M57" s="342">
        <v>0</v>
      </c>
      <c r="N57" s="342">
        <v>0</v>
      </c>
      <c r="O57" s="342">
        <v>0</v>
      </c>
      <c r="P57" s="342">
        <v>0</v>
      </c>
      <c r="Q57" s="342">
        <v>0</v>
      </c>
      <c r="R57" s="342">
        <v>0</v>
      </c>
      <c r="S57" s="342">
        <v>0</v>
      </c>
      <c r="T57" s="342">
        <v>0</v>
      </c>
      <c r="U57" s="342">
        <v>0</v>
      </c>
      <c r="V57" s="342" t="str">
        <f>'№2 ИП ТС'!A67</f>
        <v>3.1.4</v>
      </c>
      <c r="W57" s="332"/>
    </row>
    <row r="58" spans="1:23" ht="75" x14ac:dyDescent="0.3">
      <c r="A58" s="344" t="s">
        <v>672</v>
      </c>
      <c r="B58" s="341" t="str">
        <f>'№2 ИП ТС'!B68</f>
        <v>Реконструкция участка сети от У-30 до У-31, Дн45 мм длиной 6,2 м (надземная прокладка) котельная № 1 п. Верхний Ландех</v>
      </c>
      <c r="C58" s="342">
        <f>'№2 ИП ТС'!R68</f>
        <v>64.433000000000007</v>
      </c>
      <c r="D58" s="342">
        <v>0</v>
      </c>
      <c r="E58" s="345">
        <f t="shared" si="29"/>
        <v>64.433000000000007</v>
      </c>
      <c r="F58" s="345">
        <f t="shared" si="23"/>
        <v>64.433000000000007</v>
      </c>
      <c r="G58" s="342">
        <v>0</v>
      </c>
      <c r="H58" s="342">
        <v>0</v>
      </c>
      <c r="I58" s="345">
        <f t="shared" si="30"/>
        <v>64.433000000000007</v>
      </c>
      <c r="J58" s="342">
        <v>0</v>
      </c>
      <c r="K58" s="342">
        <v>0</v>
      </c>
      <c r="L58" s="342">
        <v>0</v>
      </c>
      <c r="M58" s="342">
        <v>0</v>
      </c>
      <c r="N58" s="342">
        <v>0</v>
      </c>
      <c r="O58" s="342">
        <v>0</v>
      </c>
      <c r="P58" s="342">
        <v>0</v>
      </c>
      <c r="Q58" s="342">
        <v>0</v>
      </c>
      <c r="R58" s="342">
        <v>0</v>
      </c>
      <c r="S58" s="342">
        <v>0</v>
      </c>
      <c r="T58" s="342">
        <v>0</v>
      </c>
      <c r="U58" s="342">
        <v>0</v>
      </c>
      <c r="V58" s="342" t="str">
        <f>'№2 ИП ТС'!A68</f>
        <v>3.1.5</v>
      </c>
      <c r="W58" s="332"/>
    </row>
    <row r="59" spans="1:23" ht="75" x14ac:dyDescent="0.3">
      <c r="A59" s="344" t="s">
        <v>673</v>
      </c>
      <c r="B59" s="341" t="str">
        <f>'№2 ИП ТС'!B69</f>
        <v>Реконструкция участка сети от У-31 до У-31А, Дн45 мм длиной 38 м (надземная прокладка) котельная № 1 п. Верхний Ландех</v>
      </c>
      <c r="C59" s="342">
        <f>'№2 ИП ТС'!R69</f>
        <v>446.64100000000002</v>
      </c>
      <c r="D59" s="342">
        <v>0</v>
      </c>
      <c r="E59" s="345">
        <f t="shared" si="29"/>
        <v>446.64100000000002</v>
      </c>
      <c r="F59" s="345">
        <f t="shared" si="23"/>
        <v>446.64100000000002</v>
      </c>
      <c r="G59" s="342">
        <v>0</v>
      </c>
      <c r="H59" s="342">
        <v>0</v>
      </c>
      <c r="I59" s="345">
        <f t="shared" si="30"/>
        <v>446.64100000000002</v>
      </c>
      <c r="J59" s="342">
        <v>0</v>
      </c>
      <c r="K59" s="342">
        <v>0</v>
      </c>
      <c r="L59" s="342">
        <v>0</v>
      </c>
      <c r="M59" s="342">
        <v>0</v>
      </c>
      <c r="N59" s="342">
        <v>0</v>
      </c>
      <c r="O59" s="342">
        <v>0</v>
      </c>
      <c r="P59" s="342">
        <v>0</v>
      </c>
      <c r="Q59" s="342">
        <v>0</v>
      </c>
      <c r="R59" s="342">
        <v>0</v>
      </c>
      <c r="S59" s="342">
        <v>0</v>
      </c>
      <c r="T59" s="342">
        <v>0</v>
      </c>
      <c r="U59" s="342">
        <v>0</v>
      </c>
      <c r="V59" s="342" t="str">
        <f>'№2 ИП ТС'!A69</f>
        <v>3.1.6</v>
      </c>
      <c r="W59" s="332"/>
    </row>
    <row r="60" spans="1:23" ht="75" x14ac:dyDescent="0.3">
      <c r="A60" s="344" t="s">
        <v>674</v>
      </c>
      <c r="B60" s="341" t="str">
        <f>'№2 ИП ТС'!B70</f>
        <v>Реконструкция участка сети от У-31А до ТК-6, Дн45 мм длиной 71 м (прокладка подземная канальная) котельная № 1 п. Верхний Ландех</v>
      </c>
      <c r="C60" s="342">
        <f>'№2 ИП ТС'!R70</f>
        <v>732.827</v>
      </c>
      <c r="D60" s="342">
        <v>0</v>
      </c>
      <c r="E60" s="345">
        <f t="shared" si="29"/>
        <v>732.827</v>
      </c>
      <c r="F60" s="345">
        <f t="shared" si="23"/>
        <v>732.827</v>
      </c>
      <c r="G60" s="342">
        <v>0</v>
      </c>
      <c r="H60" s="342">
        <v>0</v>
      </c>
      <c r="I60" s="345">
        <f t="shared" si="30"/>
        <v>732.827</v>
      </c>
      <c r="J60" s="342">
        <v>0</v>
      </c>
      <c r="K60" s="342">
        <v>0</v>
      </c>
      <c r="L60" s="342">
        <v>0</v>
      </c>
      <c r="M60" s="342">
        <v>0</v>
      </c>
      <c r="N60" s="342">
        <v>0</v>
      </c>
      <c r="O60" s="342">
        <v>0</v>
      </c>
      <c r="P60" s="342">
        <v>0</v>
      </c>
      <c r="Q60" s="342">
        <v>0</v>
      </c>
      <c r="R60" s="342">
        <v>0</v>
      </c>
      <c r="S60" s="342">
        <v>0</v>
      </c>
      <c r="T60" s="342">
        <v>0</v>
      </c>
      <c r="U60" s="342">
        <v>0</v>
      </c>
      <c r="V60" s="342" t="str">
        <f>'№2 ИП ТС'!A70</f>
        <v>3.1.7</v>
      </c>
      <c r="W60" s="332"/>
    </row>
    <row r="61" spans="1:23" ht="75" x14ac:dyDescent="0.3">
      <c r="A61" s="344" t="s">
        <v>675</v>
      </c>
      <c r="B61" s="341" t="str">
        <f>'№2 ИП ТС'!B71</f>
        <v>Реконструкция участка сети от ТК-6 до У-32, Дн45 мм длиной 7,3 м (прокладка подземная канальная) котельная № 1 п. Верхний Ландех</v>
      </c>
      <c r="C61" s="342">
        <f>'№2 ИП ТС'!R71</f>
        <v>94.296999999999997</v>
      </c>
      <c r="D61" s="342">
        <v>0</v>
      </c>
      <c r="E61" s="345">
        <f t="shared" si="29"/>
        <v>94.296999999999997</v>
      </c>
      <c r="F61" s="345">
        <f t="shared" si="23"/>
        <v>94.296999999999997</v>
      </c>
      <c r="G61" s="342">
        <v>0</v>
      </c>
      <c r="H61" s="342">
        <v>0</v>
      </c>
      <c r="I61" s="345">
        <f t="shared" si="30"/>
        <v>94.296999999999997</v>
      </c>
      <c r="J61" s="342">
        <v>0</v>
      </c>
      <c r="K61" s="342">
        <v>0</v>
      </c>
      <c r="L61" s="342">
        <v>0</v>
      </c>
      <c r="M61" s="342">
        <v>0</v>
      </c>
      <c r="N61" s="342">
        <v>0</v>
      </c>
      <c r="O61" s="342">
        <v>0</v>
      </c>
      <c r="P61" s="342">
        <v>0</v>
      </c>
      <c r="Q61" s="342">
        <v>0</v>
      </c>
      <c r="R61" s="342">
        <v>0</v>
      </c>
      <c r="S61" s="342">
        <v>0</v>
      </c>
      <c r="T61" s="342">
        <v>0</v>
      </c>
      <c r="U61" s="342">
        <v>0</v>
      </c>
      <c r="V61" s="342" t="str">
        <f>'№2 ИП ТС'!A71</f>
        <v>3.1.8</v>
      </c>
      <c r="W61" s="332"/>
    </row>
    <row r="62" spans="1:23" ht="93.75" x14ac:dyDescent="0.3">
      <c r="A62" s="344" t="s">
        <v>676</v>
      </c>
      <c r="B62" s="341" t="str">
        <f>'№2 ИП ТС'!B72</f>
        <v>Реконструкция участка сети от У-34 до ТК-7, Дн45 мм длиной 9,5 м (прокладка подземная канальная с выносом на поверхность) котельная № 1 п. Верхний Ландех</v>
      </c>
      <c r="C62" s="342">
        <f>'№2 ИП ТС'!R72</f>
        <v>185.27199999999999</v>
      </c>
      <c r="D62" s="342">
        <v>0</v>
      </c>
      <c r="E62" s="345">
        <f t="shared" si="29"/>
        <v>185.27199999999999</v>
      </c>
      <c r="F62" s="345">
        <f t="shared" si="23"/>
        <v>185.27199999999999</v>
      </c>
      <c r="G62" s="342">
        <v>0</v>
      </c>
      <c r="H62" s="342">
        <v>0</v>
      </c>
      <c r="I62" s="345">
        <f t="shared" si="30"/>
        <v>185.27199999999999</v>
      </c>
      <c r="J62" s="342">
        <v>0</v>
      </c>
      <c r="K62" s="342">
        <v>0</v>
      </c>
      <c r="L62" s="342">
        <v>0</v>
      </c>
      <c r="M62" s="342">
        <v>0</v>
      </c>
      <c r="N62" s="342">
        <v>0</v>
      </c>
      <c r="O62" s="342">
        <v>0</v>
      </c>
      <c r="P62" s="342">
        <v>0</v>
      </c>
      <c r="Q62" s="342">
        <v>0</v>
      </c>
      <c r="R62" s="342">
        <v>0</v>
      </c>
      <c r="S62" s="342">
        <v>0</v>
      </c>
      <c r="T62" s="342">
        <v>0</v>
      </c>
      <c r="U62" s="342">
        <v>0</v>
      </c>
      <c r="V62" s="342" t="str">
        <f>'№2 ИП ТС'!A72</f>
        <v>3.1.9</v>
      </c>
      <c r="W62" s="332"/>
    </row>
    <row r="63" spans="1:23" ht="75" x14ac:dyDescent="0.3">
      <c r="A63" s="344" t="s">
        <v>677</v>
      </c>
      <c r="B63" s="341" t="str">
        <f>'№2 ИП ТС'!B73</f>
        <v>Реконструкция тепловых сетей в п. Верхний Ландех, ул. Новая, 1А , от У-29 до ТК-5, L=13м, Дн76мм, надземная прокладка</v>
      </c>
      <c r="C63" s="342">
        <f>'№2 ИП ТС'!R73</f>
        <v>275.25</v>
      </c>
      <c r="D63" s="342">
        <v>0</v>
      </c>
      <c r="E63" s="345">
        <f t="shared" si="29"/>
        <v>275.25</v>
      </c>
      <c r="F63" s="345">
        <f t="shared" si="23"/>
        <v>275.25</v>
      </c>
      <c r="G63" s="342">
        <v>0</v>
      </c>
      <c r="H63" s="342">
        <v>0</v>
      </c>
      <c r="I63" s="345">
        <f t="shared" si="30"/>
        <v>275.25</v>
      </c>
      <c r="J63" s="342">
        <v>0</v>
      </c>
      <c r="K63" s="342">
        <v>0</v>
      </c>
      <c r="L63" s="342">
        <v>0</v>
      </c>
      <c r="M63" s="342">
        <v>0</v>
      </c>
      <c r="N63" s="342">
        <v>0</v>
      </c>
      <c r="O63" s="342">
        <v>0</v>
      </c>
      <c r="P63" s="342">
        <v>0</v>
      </c>
      <c r="Q63" s="342">
        <v>0</v>
      </c>
      <c r="R63" s="342">
        <v>0</v>
      </c>
      <c r="S63" s="342">
        <v>0</v>
      </c>
      <c r="T63" s="342">
        <v>0</v>
      </c>
      <c r="U63" s="342">
        <v>0</v>
      </c>
      <c r="V63" s="342" t="str">
        <f>'№2 ИП ТС'!A73</f>
        <v>3.1.10</v>
      </c>
      <c r="W63" s="332"/>
    </row>
    <row r="64" spans="1:23" ht="75" x14ac:dyDescent="0.3">
      <c r="A64" s="344" t="s">
        <v>678</v>
      </c>
      <c r="B64" s="341" t="str">
        <f>'№2 ИП ТС'!B74</f>
        <v>Реконструкция тепловых сетей в п.Верхний Ландех, ул. Новая, 1А , от У-14 до ул.Восточная, д. 1А (д/с), L=15м, Дн76мм, надземная прокладка</v>
      </c>
      <c r="C64" s="342">
        <f>'№2 ИП ТС'!R74</f>
        <v>317.59500000000003</v>
      </c>
      <c r="D64" s="342">
        <v>0</v>
      </c>
      <c r="E64" s="345">
        <f t="shared" si="29"/>
        <v>317.59500000000003</v>
      </c>
      <c r="F64" s="345">
        <f t="shared" si="23"/>
        <v>317.59500000000003</v>
      </c>
      <c r="G64" s="342">
        <v>0</v>
      </c>
      <c r="H64" s="342">
        <v>0</v>
      </c>
      <c r="I64" s="345">
        <f t="shared" si="30"/>
        <v>317.59500000000003</v>
      </c>
      <c r="J64" s="342">
        <v>0</v>
      </c>
      <c r="K64" s="342">
        <v>0</v>
      </c>
      <c r="L64" s="342">
        <v>0</v>
      </c>
      <c r="M64" s="342">
        <v>0</v>
      </c>
      <c r="N64" s="342">
        <v>0</v>
      </c>
      <c r="O64" s="342">
        <v>0</v>
      </c>
      <c r="P64" s="342">
        <v>0</v>
      </c>
      <c r="Q64" s="342">
        <v>0</v>
      </c>
      <c r="R64" s="342">
        <v>0</v>
      </c>
      <c r="S64" s="342">
        <v>0</v>
      </c>
      <c r="T64" s="342">
        <v>0</v>
      </c>
      <c r="U64" s="342">
        <v>0</v>
      </c>
      <c r="V64" s="342" t="str">
        <f>'№2 ИП ТС'!A74</f>
        <v>3.1.11</v>
      </c>
      <c r="W64" s="332"/>
    </row>
    <row r="65" spans="1:23" ht="75" x14ac:dyDescent="0.3">
      <c r="A65" s="344" t="s">
        <v>679</v>
      </c>
      <c r="B65" s="341" t="str">
        <f>'№2 ИП ТС'!B75</f>
        <v>Реконструкция тепловых сетей в п. Верхний Ландех, ул. Новая, 1А , от У-28 до ул. Комсомольская, д.16, L=18м, Ду80мм, канальная прокладка</v>
      </c>
      <c r="C65" s="342">
        <f>'№2 ИП ТС'!R75</f>
        <v>496.29700000000003</v>
      </c>
      <c r="D65" s="342">
        <v>0</v>
      </c>
      <c r="E65" s="345">
        <f t="shared" si="29"/>
        <v>496.29700000000003</v>
      </c>
      <c r="F65" s="345">
        <f t="shared" si="23"/>
        <v>496.29700000000003</v>
      </c>
      <c r="G65" s="342">
        <v>0</v>
      </c>
      <c r="H65" s="342">
        <v>0</v>
      </c>
      <c r="I65" s="345">
        <f t="shared" si="30"/>
        <v>496.29700000000003</v>
      </c>
      <c r="J65" s="342">
        <v>0</v>
      </c>
      <c r="K65" s="342">
        <v>0</v>
      </c>
      <c r="L65" s="342">
        <v>0</v>
      </c>
      <c r="M65" s="342">
        <v>0</v>
      </c>
      <c r="N65" s="342">
        <v>0</v>
      </c>
      <c r="O65" s="342">
        <v>0</v>
      </c>
      <c r="P65" s="342">
        <v>0</v>
      </c>
      <c r="Q65" s="342">
        <v>0</v>
      </c>
      <c r="R65" s="342">
        <v>0</v>
      </c>
      <c r="S65" s="342">
        <v>0</v>
      </c>
      <c r="T65" s="342">
        <v>0</v>
      </c>
      <c r="U65" s="342">
        <v>0</v>
      </c>
      <c r="V65" s="342" t="str">
        <f>'№2 ИП ТС'!A75</f>
        <v>3.1.12</v>
      </c>
      <c r="W65" s="332"/>
    </row>
    <row r="66" spans="1:23" ht="93.75" x14ac:dyDescent="0.3">
      <c r="A66" s="344" t="s">
        <v>680</v>
      </c>
      <c r="B66" s="341" t="str">
        <f>'№2 ИП ТС'!B76</f>
        <v>Реконструкция тепловых сетей (подземной прокладки с выносом на поверхность) в п. Верхний Ландех, ул. Новая, 1А , от У-28 до У-29, L=65,5м, Дн76мм, надземная прокладка</v>
      </c>
      <c r="C66" s="342">
        <f>'№2 ИП ТС'!R76</f>
        <v>1386.8520000000001</v>
      </c>
      <c r="D66" s="342">
        <v>0</v>
      </c>
      <c r="E66" s="345">
        <f t="shared" si="29"/>
        <v>1386.8520000000001</v>
      </c>
      <c r="F66" s="345">
        <f t="shared" si="23"/>
        <v>1386.8520000000001</v>
      </c>
      <c r="G66" s="342">
        <v>0</v>
      </c>
      <c r="H66" s="342">
        <v>0</v>
      </c>
      <c r="I66" s="345">
        <f t="shared" si="30"/>
        <v>1386.8520000000001</v>
      </c>
      <c r="J66" s="342">
        <v>0</v>
      </c>
      <c r="K66" s="342">
        <v>0</v>
      </c>
      <c r="L66" s="342">
        <v>0</v>
      </c>
      <c r="M66" s="342">
        <v>0</v>
      </c>
      <c r="N66" s="342">
        <v>0</v>
      </c>
      <c r="O66" s="342">
        <v>0</v>
      </c>
      <c r="P66" s="342">
        <v>0</v>
      </c>
      <c r="Q66" s="342">
        <v>0</v>
      </c>
      <c r="R66" s="342">
        <v>0</v>
      </c>
      <c r="S66" s="342">
        <v>0</v>
      </c>
      <c r="T66" s="342">
        <v>0</v>
      </c>
      <c r="U66" s="342">
        <v>0</v>
      </c>
      <c r="V66" s="342" t="str">
        <f>'№2 ИП ТС'!A76</f>
        <v>3.1.13</v>
      </c>
      <c r="W66" s="332"/>
    </row>
    <row r="67" spans="1:23" ht="93.75" x14ac:dyDescent="0.3">
      <c r="A67" s="344" t="s">
        <v>681</v>
      </c>
      <c r="B67" s="341" t="str">
        <f>'№2 ИП ТС'!B77</f>
        <v>Реконструкция тепловых сетей (подземной прокладки с выносом на поверхность) в п. Верхний Ландех, ул. Новая, 1А, от ТК-4 до У-28, L=15м, Ду100, надземная прокладка</v>
      </c>
      <c r="C67" s="342">
        <f>'№2 ИП ТС'!R77</f>
        <v>544.58299999999997</v>
      </c>
      <c r="D67" s="342">
        <v>0</v>
      </c>
      <c r="E67" s="345">
        <f t="shared" si="29"/>
        <v>544.58299999999997</v>
      </c>
      <c r="F67" s="345">
        <f t="shared" si="23"/>
        <v>544.58299999999997</v>
      </c>
      <c r="G67" s="342">
        <v>0</v>
      </c>
      <c r="H67" s="342">
        <v>0</v>
      </c>
      <c r="I67" s="345">
        <f t="shared" si="30"/>
        <v>544.58299999999997</v>
      </c>
      <c r="J67" s="342">
        <v>0</v>
      </c>
      <c r="K67" s="342">
        <v>0</v>
      </c>
      <c r="L67" s="342">
        <v>0</v>
      </c>
      <c r="M67" s="342">
        <v>0</v>
      </c>
      <c r="N67" s="342">
        <v>0</v>
      </c>
      <c r="O67" s="342">
        <v>0</v>
      </c>
      <c r="P67" s="342">
        <v>0</v>
      </c>
      <c r="Q67" s="342">
        <v>0</v>
      </c>
      <c r="R67" s="342">
        <v>0</v>
      </c>
      <c r="S67" s="342">
        <v>0</v>
      </c>
      <c r="T67" s="342">
        <v>0</v>
      </c>
      <c r="U67" s="342">
        <v>0</v>
      </c>
      <c r="V67" s="342" t="str">
        <f>'№2 ИП ТС'!A77</f>
        <v>3.1.14</v>
      </c>
      <c r="W67" s="332"/>
    </row>
    <row r="68" spans="1:23" ht="75" x14ac:dyDescent="0.3">
      <c r="A68" s="344" t="s">
        <v>682</v>
      </c>
      <c r="B68" s="341" t="str">
        <f>'№2 ИП ТС'!B78</f>
        <v>Реконструкция тепловых сетей в п. Верхний Ландех, ул. Новая, 1А, от У-15 до У-16, L=40м, Ду125, надземная прокладка</v>
      </c>
      <c r="C68" s="342">
        <f>'№2 ИП ТС'!R78</f>
        <v>966.97500000000002</v>
      </c>
      <c r="D68" s="342">
        <v>0</v>
      </c>
      <c r="E68" s="345">
        <f t="shared" si="29"/>
        <v>966.97500000000002</v>
      </c>
      <c r="F68" s="345">
        <f t="shared" si="23"/>
        <v>966.97500000000002</v>
      </c>
      <c r="G68" s="342">
        <v>0</v>
      </c>
      <c r="H68" s="342">
        <v>0</v>
      </c>
      <c r="I68" s="345">
        <f t="shared" si="30"/>
        <v>966.97500000000002</v>
      </c>
      <c r="J68" s="342">
        <v>0</v>
      </c>
      <c r="K68" s="342">
        <v>0</v>
      </c>
      <c r="L68" s="342">
        <v>0</v>
      </c>
      <c r="M68" s="342">
        <v>0</v>
      </c>
      <c r="N68" s="342">
        <v>0</v>
      </c>
      <c r="O68" s="342">
        <v>0</v>
      </c>
      <c r="P68" s="342">
        <v>0</v>
      </c>
      <c r="Q68" s="342">
        <v>0</v>
      </c>
      <c r="R68" s="342">
        <v>0</v>
      </c>
      <c r="S68" s="342">
        <v>0</v>
      </c>
      <c r="T68" s="342">
        <v>0</v>
      </c>
      <c r="U68" s="342">
        <v>0</v>
      </c>
      <c r="V68" s="342" t="str">
        <f>'№2 ИП ТС'!A78</f>
        <v>3.1.15</v>
      </c>
      <c r="W68" s="332"/>
    </row>
    <row r="69" spans="1:23" ht="75" x14ac:dyDescent="0.3">
      <c r="A69" s="344" t="s">
        <v>683</v>
      </c>
      <c r="B69" s="341" t="str">
        <f>'№2 ИП ТС'!B79</f>
        <v>Реконструкция тепловых сетей в п. Верхний Ландех, ул. Новая, 1А, от У-17 до У-18, L=21,6м, Ду125, надземная прокладка</v>
      </c>
      <c r="C69" s="342">
        <f>'№2 ИП ТС'!R79</f>
        <v>522.16800000000001</v>
      </c>
      <c r="D69" s="342">
        <v>0</v>
      </c>
      <c r="E69" s="345">
        <f t="shared" si="29"/>
        <v>522.16800000000001</v>
      </c>
      <c r="F69" s="345">
        <f t="shared" si="23"/>
        <v>522.16800000000001</v>
      </c>
      <c r="G69" s="342">
        <v>0</v>
      </c>
      <c r="H69" s="342">
        <v>0</v>
      </c>
      <c r="I69" s="345">
        <f t="shared" si="30"/>
        <v>522.16800000000001</v>
      </c>
      <c r="J69" s="342">
        <v>0</v>
      </c>
      <c r="K69" s="342">
        <v>0</v>
      </c>
      <c r="L69" s="342">
        <v>0</v>
      </c>
      <c r="M69" s="342">
        <v>0</v>
      </c>
      <c r="N69" s="342">
        <v>0</v>
      </c>
      <c r="O69" s="342">
        <v>0</v>
      </c>
      <c r="P69" s="342">
        <v>0</v>
      </c>
      <c r="Q69" s="342">
        <v>0</v>
      </c>
      <c r="R69" s="342">
        <v>0</v>
      </c>
      <c r="S69" s="342">
        <v>0</v>
      </c>
      <c r="T69" s="342">
        <v>0</v>
      </c>
      <c r="U69" s="342">
        <v>0</v>
      </c>
      <c r="V69" s="342" t="str">
        <f>'№2 ИП ТС'!A79</f>
        <v>3.1.16</v>
      </c>
      <c r="W69" s="332"/>
    </row>
    <row r="70" spans="1:23" ht="75" x14ac:dyDescent="0.3">
      <c r="A70" s="344" t="s">
        <v>684</v>
      </c>
      <c r="B70" s="341" t="str">
        <f>'№2 ИП ТС'!B80</f>
        <v>Реконструкция тепловых сетей в п. Верхний Ландех, ул. Новая, 1А, от У-18 до У-20, L=20,3 м, Ду125, надземная прокладка</v>
      </c>
      <c r="C70" s="342">
        <f>'№2 ИП ТС'!R80</f>
        <v>490.74099999999999</v>
      </c>
      <c r="D70" s="342">
        <v>0</v>
      </c>
      <c r="E70" s="345">
        <f t="shared" si="29"/>
        <v>490.74099999999999</v>
      </c>
      <c r="F70" s="345">
        <f t="shared" si="23"/>
        <v>490.74099999999999</v>
      </c>
      <c r="G70" s="342">
        <v>0</v>
      </c>
      <c r="H70" s="342">
        <v>0</v>
      </c>
      <c r="I70" s="345">
        <f t="shared" si="30"/>
        <v>490.74099999999999</v>
      </c>
      <c r="J70" s="342">
        <v>0</v>
      </c>
      <c r="K70" s="342">
        <v>0</v>
      </c>
      <c r="L70" s="342">
        <v>0</v>
      </c>
      <c r="M70" s="342">
        <v>0</v>
      </c>
      <c r="N70" s="342">
        <v>0</v>
      </c>
      <c r="O70" s="342">
        <v>0</v>
      </c>
      <c r="P70" s="342">
        <v>0</v>
      </c>
      <c r="Q70" s="342">
        <v>0</v>
      </c>
      <c r="R70" s="342">
        <v>0</v>
      </c>
      <c r="S70" s="342">
        <v>0</v>
      </c>
      <c r="T70" s="342">
        <v>0</v>
      </c>
      <c r="U70" s="342">
        <v>0</v>
      </c>
      <c r="V70" s="342" t="str">
        <f>'№2 ИП ТС'!A80</f>
        <v>3.1.17</v>
      </c>
      <c r="W70" s="332"/>
    </row>
    <row r="71" spans="1:23" ht="75" x14ac:dyDescent="0.3">
      <c r="A71" s="344" t="s">
        <v>685</v>
      </c>
      <c r="B71" s="341" t="str">
        <f>'№2 ИП ТС'!B81</f>
        <v>Реконструкция тепловых сетей в п.Верхний Ландех, ул. Новая, 1А , от У-20 до У-21, L=7,4м, Ду125, надземная прокладка</v>
      </c>
      <c r="C71" s="342">
        <f>'№2 ИП ТС'!R81</f>
        <v>178.89099999999999</v>
      </c>
      <c r="D71" s="342">
        <v>0</v>
      </c>
      <c r="E71" s="345">
        <f t="shared" si="29"/>
        <v>178.89099999999999</v>
      </c>
      <c r="F71" s="345">
        <f t="shared" si="23"/>
        <v>178.89099999999999</v>
      </c>
      <c r="G71" s="342">
        <v>0</v>
      </c>
      <c r="H71" s="342">
        <v>0</v>
      </c>
      <c r="I71" s="345">
        <f t="shared" si="30"/>
        <v>178.89099999999999</v>
      </c>
      <c r="J71" s="342">
        <v>0</v>
      </c>
      <c r="K71" s="342">
        <v>0</v>
      </c>
      <c r="L71" s="342">
        <v>0</v>
      </c>
      <c r="M71" s="342">
        <v>0</v>
      </c>
      <c r="N71" s="342">
        <v>0</v>
      </c>
      <c r="O71" s="342">
        <v>0</v>
      </c>
      <c r="P71" s="342">
        <v>0</v>
      </c>
      <c r="Q71" s="342">
        <v>0</v>
      </c>
      <c r="R71" s="342">
        <v>0</v>
      </c>
      <c r="S71" s="342">
        <v>0</v>
      </c>
      <c r="T71" s="342">
        <v>0</v>
      </c>
      <c r="U71" s="342">
        <v>0</v>
      </c>
      <c r="V71" s="342" t="str">
        <f>'№2 ИП ТС'!A81</f>
        <v>3.1.18</v>
      </c>
      <c r="W71" s="332"/>
    </row>
    <row r="72" spans="1:23" ht="75" x14ac:dyDescent="0.3">
      <c r="A72" s="344" t="s">
        <v>686</v>
      </c>
      <c r="B72" s="341" t="str">
        <f>'№2 ИП ТС'!B82</f>
        <v>Реконструкция тепловых сетей в п. Верхний Ландех, ул. Новая, 1А, от У-21 до У-22, L=11м, Ду125, надземная прокладка</v>
      </c>
      <c r="C72" s="342">
        <f>'№2 ИП ТС'!R82</f>
        <v>265.91899999999998</v>
      </c>
      <c r="D72" s="342">
        <v>0</v>
      </c>
      <c r="E72" s="345">
        <f t="shared" si="29"/>
        <v>265.91899999999998</v>
      </c>
      <c r="F72" s="345">
        <f t="shared" si="23"/>
        <v>265.91899999999998</v>
      </c>
      <c r="G72" s="342">
        <v>0</v>
      </c>
      <c r="H72" s="342">
        <v>0</v>
      </c>
      <c r="I72" s="345">
        <f t="shared" si="30"/>
        <v>265.91899999999998</v>
      </c>
      <c r="J72" s="342">
        <v>0</v>
      </c>
      <c r="K72" s="342">
        <v>0</v>
      </c>
      <c r="L72" s="342">
        <v>0</v>
      </c>
      <c r="M72" s="342">
        <v>0</v>
      </c>
      <c r="N72" s="342">
        <v>0</v>
      </c>
      <c r="O72" s="342">
        <v>0</v>
      </c>
      <c r="P72" s="342">
        <v>0</v>
      </c>
      <c r="Q72" s="342">
        <v>0</v>
      </c>
      <c r="R72" s="342">
        <v>0</v>
      </c>
      <c r="S72" s="342">
        <v>0</v>
      </c>
      <c r="T72" s="342">
        <v>0</v>
      </c>
      <c r="U72" s="342">
        <v>0</v>
      </c>
      <c r="V72" s="342" t="str">
        <f>'№2 ИП ТС'!A82</f>
        <v>3.1.19</v>
      </c>
      <c r="W72" s="332"/>
    </row>
    <row r="73" spans="1:23" ht="75" x14ac:dyDescent="0.3">
      <c r="A73" s="344" t="s">
        <v>687</v>
      </c>
      <c r="B73" s="341" t="str">
        <f>'№2 ИП ТС'!B83</f>
        <v>Реконструкция тепловых сетей в п. Верхний Ландех, ул. Новая, 1А , от У-22 до У-23, L=3м, Ду125, надземная прокладка</v>
      </c>
      <c r="C73" s="342">
        <f>'№2 ИП ТС'!R83</f>
        <v>72.522999999999996</v>
      </c>
      <c r="D73" s="342">
        <v>0</v>
      </c>
      <c r="E73" s="345">
        <f t="shared" si="29"/>
        <v>72.522999999999996</v>
      </c>
      <c r="F73" s="345">
        <f t="shared" si="23"/>
        <v>72.522999999999996</v>
      </c>
      <c r="G73" s="342">
        <v>0</v>
      </c>
      <c r="H73" s="342">
        <v>0</v>
      </c>
      <c r="I73" s="345">
        <f t="shared" si="30"/>
        <v>72.522999999999996</v>
      </c>
      <c r="J73" s="342">
        <v>0</v>
      </c>
      <c r="K73" s="342">
        <v>0</v>
      </c>
      <c r="L73" s="342">
        <v>0</v>
      </c>
      <c r="M73" s="342">
        <v>0</v>
      </c>
      <c r="N73" s="342">
        <v>0</v>
      </c>
      <c r="O73" s="342">
        <v>0</v>
      </c>
      <c r="P73" s="342">
        <v>0</v>
      </c>
      <c r="Q73" s="342">
        <v>0</v>
      </c>
      <c r="R73" s="342">
        <v>0</v>
      </c>
      <c r="S73" s="342">
        <v>0</v>
      </c>
      <c r="T73" s="342">
        <v>0</v>
      </c>
      <c r="U73" s="342">
        <v>0</v>
      </c>
      <c r="V73" s="342" t="str">
        <f>'№2 ИП ТС'!A83</f>
        <v>3.1.20</v>
      </c>
      <c r="W73" s="332"/>
    </row>
    <row r="74" spans="1:23" ht="75" x14ac:dyDescent="0.3">
      <c r="A74" s="344" t="s">
        <v>688</v>
      </c>
      <c r="B74" s="341" t="str">
        <f>'№2 ИП ТС'!B84</f>
        <v>Реконструкция тепловых сетей в п. Верхний Ландех, ул. Новая, 1А , от У-23 до У-24, L=9,2м, Ду125, надземная прокладка</v>
      </c>
      <c r="C74" s="342">
        <f>'№2 ИП ТС'!R84</f>
        <v>222.405</v>
      </c>
      <c r="D74" s="342">
        <v>0</v>
      </c>
      <c r="E74" s="345">
        <f t="shared" si="29"/>
        <v>222.405</v>
      </c>
      <c r="F74" s="345">
        <f t="shared" si="23"/>
        <v>222.405</v>
      </c>
      <c r="G74" s="342">
        <v>0</v>
      </c>
      <c r="H74" s="342">
        <v>0</v>
      </c>
      <c r="I74" s="345">
        <f t="shared" si="30"/>
        <v>222.405</v>
      </c>
      <c r="J74" s="342">
        <v>0</v>
      </c>
      <c r="K74" s="342">
        <v>0</v>
      </c>
      <c r="L74" s="342">
        <v>0</v>
      </c>
      <c r="M74" s="342">
        <v>0</v>
      </c>
      <c r="N74" s="342">
        <v>0</v>
      </c>
      <c r="O74" s="342">
        <v>0</v>
      </c>
      <c r="P74" s="342">
        <v>0</v>
      </c>
      <c r="Q74" s="342">
        <v>0</v>
      </c>
      <c r="R74" s="342">
        <v>0</v>
      </c>
      <c r="S74" s="342">
        <v>0</v>
      </c>
      <c r="T74" s="342">
        <v>0</v>
      </c>
      <c r="U74" s="342">
        <v>0</v>
      </c>
      <c r="V74" s="342" t="str">
        <f>'№2 ИП ТС'!A84</f>
        <v>3.1.21</v>
      </c>
      <c r="W74" s="332"/>
    </row>
    <row r="75" spans="1:23" ht="93.75" x14ac:dyDescent="0.3">
      <c r="A75" s="344" t="s">
        <v>689</v>
      </c>
      <c r="B75" s="341" t="str">
        <f>'№2 ИП ТС'!B85</f>
        <v>Реконструкция тепловых сетей (подземной прокладки с выносом на поверхность) в п. Верхний Ландех, ул. Новая, 1А, от У-16 до У-17, L=26м, Ду125, надземная прокладка</v>
      </c>
      <c r="C75" s="342">
        <f>'№2 ИП ТС'!R85</f>
        <v>628.53599999999994</v>
      </c>
      <c r="D75" s="342">
        <v>0</v>
      </c>
      <c r="E75" s="345">
        <f t="shared" si="29"/>
        <v>628.53599999999994</v>
      </c>
      <c r="F75" s="345">
        <f t="shared" si="23"/>
        <v>628.53599999999994</v>
      </c>
      <c r="G75" s="342">
        <v>0</v>
      </c>
      <c r="H75" s="342">
        <v>0</v>
      </c>
      <c r="I75" s="345">
        <f t="shared" si="30"/>
        <v>628.53599999999994</v>
      </c>
      <c r="J75" s="342">
        <v>0</v>
      </c>
      <c r="K75" s="342">
        <v>0</v>
      </c>
      <c r="L75" s="342">
        <v>0</v>
      </c>
      <c r="M75" s="342">
        <v>0</v>
      </c>
      <c r="N75" s="342">
        <v>0</v>
      </c>
      <c r="O75" s="342">
        <v>0</v>
      </c>
      <c r="P75" s="342">
        <v>0</v>
      </c>
      <c r="Q75" s="342">
        <v>0</v>
      </c>
      <c r="R75" s="342">
        <v>0</v>
      </c>
      <c r="S75" s="342">
        <v>0</v>
      </c>
      <c r="T75" s="342">
        <v>0</v>
      </c>
      <c r="U75" s="342">
        <v>0</v>
      </c>
      <c r="V75" s="342" t="str">
        <f>'№2 ИП ТС'!A85</f>
        <v>3.1.22</v>
      </c>
      <c r="W75" s="332"/>
    </row>
    <row r="76" spans="1:23" ht="75" x14ac:dyDescent="0.3">
      <c r="A76" s="344" t="s">
        <v>690</v>
      </c>
      <c r="B76" s="341" t="str">
        <f>'№2 ИП ТС'!B86</f>
        <v>Реконструкция тепловых сетей в п. Верхний Ландех, ул. Новая, 1А, от У-24 до ТК-4, L=36,7м, Ду125мм, канальная прокладка</v>
      </c>
      <c r="C76" s="342">
        <f>'№2 ИП ТС'!R86</f>
        <v>1304.4179999999999</v>
      </c>
      <c r="D76" s="342">
        <v>0</v>
      </c>
      <c r="E76" s="345">
        <f t="shared" si="29"/>
        <v>1304.4179999999999</v>
      </c>
      <c r="F76" s="345">
        <f t="shared" si="23"/>
        <v>1304.4179999999999</v>
      </c>
      <c r="G76" s="342">
        <v>0</v>
      </c>
      <c r="H76" s="342">
        <v>0</v>
      </c>
      <c r="I76" s="345">
        <f t="shared" si="30"/>
        <v>1304.4179999999999</v>
      </c>
      <c r="J76" s="342">
        <v>0</v>
      </c>
      <c r="K76" s="342">
        <v>0</v>
      </c>
      <c r="L76" s="342">
        <v>0</v>
      </c>
      <c r="M76" s="342">
        <v>0</v>
      </c>
      <c r="N76" s="342">
        <v>0</v>
      </c>
      <c r="O76" s="342">
        <v>0</v>
      </c>
      <c r="P76" s="342">
        <v>0</v>
      </c>
      <c r="Q76" s="342">
        <v>0</v>
      </c>
      <c r="R76" s="342">
        <v>0</v>
      </c>
      <c r="S76" s="342">
        <v>0</v>
      </c>
      <c r="T76" s="342">
        <v>0</v>
      </c>
      <c r="U76" s="342">
        <v>0</v>
      </c>
      <c r="V76" s="342" t="str">
        <f>'№2 ИП ТС'!A86</f>
        <v>3.1.23</v>
      </c>
      <c r="W76" s="332"/>
    </row>
    <row r="77" spans="1:23" ht="93.75" x14ac:dyDescent="0.3">
      <c r="A77" s="344" t="s">
        <v>691</v>
      </c>
      <c r="B77" s="341" t="str">
        <f>'№2 ИП ТС'!B87</f>
        <v>Реконструкция участка сети (подземной прокладки с выносом на поверхность) Д 108 мм от У-1 до У1А  L=76 м  (в 2-х трубном исчислении) в п. Верхний Ландех ул. Октябрьская</v>
      </c>
      <c r="C77" s="342">
        <f>'№2 ИП ТС'!R87</f>
        <v>1655.5319999999999</v>
      </c>
      <c r="D77" s="342">
        <v>0</v>
      </c>
      <c r="E77" s="345">
        <f t="shared" si="29"/>
        <v>1655.5319999999999</v>
      </c>
      <c r="F77" s="345">
        <f t="shared" si="23"/>
        <v>1655.5319999999999</v>
      </c>
      <c r="G77" s="342">
        <v>0</v>
      </c>
      <c r="H77" s="342">
        <v>0</v>
      </c>
      <c r="I77" s="345">
        <f t="shared" si="30"/>
        <v>1655.5319999999999</v>
      </c>
      <c r="J77" s="342">
        <v>0</v>
      </c>
      <c r="K77" s="342">
        <v>0</v>
      </c>
      <c r="L77" s="342">
        <v>0</v>
      </c>
      <c r="M77" s="342">
        <v>0</v>
      </c>
      <c r="N77" s="342">
        <v>0</v>
      </c>
      <c r="O77" s="342">
        <v>0</v>
      </c>
      <c r="P77" s="342">
        <v>0</v>
      </c>
      <c r="Q77" s="342">
        <v>0</v>
      </c>
      <c r="R77" s="342">
        <v>0</v>
      </c>
      <c r="S77" s="342">
        <v>0</v>
      </c>
      <c r="T77" s="342">
        <v>0</v>
      </c>
      <c r="U77" s="342">
        <v>0</v>
      </c>
      <c r="V77" s="342" t="str">
        <f>'№2 ИП ТС'!A87</f>
        <v>3.1.24</v>
      </c>
      <c r="W77" s="332"/>
    </row>
    <row r="78" spans="1:23" ht="75" x14ac:dyDescent="0.3">
      <c r="A78" s="344" t="s">
        <v>692</v>
      </c>
      <c r="B78" s="341" t="str">
        <f>'№2 ИП ТС'!B88</f>
        <v>Реконструкция участка сети от У-3 до ул. Строителей, д. 8, Дн45 мм длиной 26 м (надземная прокладка) котельная № 3 п. Верхний Ландех</v>
      </c>
      <c r="C78" s="342">
        <f>'№2 ИП ТС'!R88</f>
        <v>258.38500000000005</v>
      </c>
      <c r="D78" s="342">
        <v>0</v>
      </c>
      <c r="E78" s="345">
        <f t="shared" si="29"/>
        <v>258.38500000000005</v>
      </c>
      <c r="F78" s="345">
        <f t="shared" si="23"/>
        <v>258.38500000000005</v>
      </c>
      <c r="G78" s="342">
        <v>0</v>
      </c>
      <c r="H78" s="342">
        <v>0</v>
      </c>
      <c r="I78" s="342">
        <v>0</v>
      </c>
      <c r="J78" s="345">
        <f>C78</f>
        <v>258.38500000000005</v>
      </c>
      <c r="K78" s="342">
        <v>0</v>
      </c>
      <c r="L78" s="342">
        <v>0</v>
      </c>
      <c r="M78" s="342">
        <v>0</v>
      </c>
      <c r="N78" s="342">
        <v>0</v>
      </c>
      <c r="O78" s="342">
        <v>0</v>
      </c>
      <c r="P78" s="342">
        <v>0</v>
      </c>
      <c r="Q78" s="342">
        <v>0</v>
      </c>
      <c r="R78" s="342">
        <v>0</v>
      </c>
      <c r="S78" s="342">
        <v>0</v>
      </c>
      <c r="T78" s="342">
        <v>0</v>
      </c>
      <c r="U78" s="342">
        <v>0</v>
      </c>
      <c r="V78" s="342" t="str">
        <f>'№2 ИП ТС'!A88</f>
        <v>3.1.25</v>
      </c>
      <c r="W78" s="332"/>
    </row>
    <row r="79" spans="1:23" ht="112.5" x14ac:dyDescent="0.3">
      <c r="A79" s="344" t="s">
        <v>693</v>
      </c>
      <c r="B79" s="341" t="str">
        <f>'№2 ИП ТС'!B89</f>
        <v>Реконструкция существующего (подземного) участка тепловых сетей (с выносом на поверхность) в п. Верхний Ландех, ул. Строителей, д.24А, от ТК-10 до ТК-2, L=8,6м, Ду100, надземная прокладка</v>
      </c>
      <c r="C79" s="342">
        <f>'№2 ИП ТС'!R89</f>
        <v>195.95833333333334</v>
      </c>
      <c r="D79" s="342">
        <v>0</v>
      </c>
      <c r="E79" s="345">
        <f t="shared" si="29"/>
        <v>195.95833333333334</v>
      </c>
      <c r="F79" s="345">
        <f t="shared" si="23"/>
        <v>195.95833333333334</v>
      </c>
      <c r="G79" s="342">
        <v>0</v>
      </c>
      <c r="H79" s="342">
        <v>0</v>
      </c>
      <c r="I79" s="342">
        <v>0</v>
      </c>
      <c r="J79" s="345">
        <f>C79</f>
        <v>195.95833333333334</v>
      </c>
      <c r="K79" s="342">
        <v>0</v>
      </c>
      <c r="L79" s="342">
        <v>0</v>
      </c>
      <c r="M79" s="342">
        <v>0</v>
      </c>
      <c r="N79" s="342">
        <v>0</v>
      </c>
      <c r="O79" s="342">
        <v>0</v>
      </c>
      <c r="P79" s="342">
        <v>0</v>
      </c>
      <c r="Q79" s="342">
        <v>0</v>
      </c>
      <c r="R79" s="342">
        <v>0</v>
      </c>
      <c r="S79" s="342">
        <v>0</v>
      </c>
      <c r="T79" s="342">
        <v>0</v>
      </c>
      <c r="U79" s="342">
        <v>0</v>
      </c>
      <c r="V79" s="342" t="str">
        <f>'№2 ИП ТС'!A89</f>
        <v>3.1.26</v>
      </c>
      <c r="W79" s="332"/>
    </row>
    <row r="80" spans="1:23" ht="93.75" x14ac:dyDescent="0.3">
      <c r="A80" s="344" t="s">
        <v>694</v>
      </c>
      <c r="B80" s="341" t="str">
        <f>'№2 ИП ТС'!B90</f>
        <v>Реконструкция участка сети (подземной прокладки с выносом на поверхность) от ТК-10 до ул. Строителей, д.10, Дн32 мм длиной 39 м (надземная прокладка) котельная № 3 п. Верхний Ландех</v>
      </c>
      <c r="C80" s="342">
        <f>'№2 ИП ТС'!R90</f>
        <v>524.41333333333341</v>
      </c>
      <c r="D80" s="342">
        <v>0</v>
      </c>
      <c r="E80" s="345">
        <f t="shared" si="29"/>
        <v>524.41333333333341</v>
      </c>
      <c r="F80" s="345">
        <f t="shared" si="23"/>
        <v>524.41333333333341</v>
      </c>
      <c r="G80" s="342">
        <v>0</v>
      </c>
      <c r="H80" s="342">
        <v>0</v>
      </c>
      <c r="I80" s="342">
        <v>0</v>
      </c>
      <c r="J80" s="345">
        <f t="shared" ref="J80:J95" si="31">C80</f>
        <v>524.41333333333341</v>
      </c>
      <c r="K80" s="342">
        <v>0</v>
      </c>
      <c r="L80" s="342">
        <v>0</v>
      </c>
      <c r="M80" s="342">
        <v>0</v>
      </c>
      <c r="N80" s="342">
        <v>0</v>
      </c>
      <c r="O80" s="342">
        <v>0</v>
      </c>
      <c r="P80" s="342">
        <v>0</v>
      </c>
      <c r="Q80" s="342">
        <v>0</v>
      </c>
      <c r="R80" s="342">
        <v>0</v>
      </c>
      <c r="S80" s="342">
        <v>0</v>
      </c>
      <c r="T80" s="342">
        <v>0</v>
      </c>
      <c r="U80" s="342">
        <v>0</v>
      </c>
      <c r="V80" s="342" t="str">
        <f>'№2 ИП ТС'!A90</f>
        <v>3.1.27</v>
      </c>
      <c r="W80" s="332"/>
    </row>
    <row r="81" spans="1:24" ht="93.75" x14ac:dyDescent="0.3">
      <c r="A81" s="344" t="s">
        <v>695</v>
      </c>
      <c r="B81" s="341" t="str">
        <f>'№2 ИП ТС'!B91</f>
        <v>Реконструкция тепловых сетей (подземной прокладки с выносом на поверхность) в п. Верхний Ландех, ул. Строителей, д.24А, от ТК-11 до ТК-10, L=17м, Ду100, надземная прокладка</v>
      </c>
      <c r="C81" s="342">
        <f>'№2 ИП ТС'!R91</f>
        <v>387.35166666666669</v>
      </c>
      <c r="D81" s="342">
        <v>0</v>
      </c>
      <c r="E81" s="345">
        <f t="shared" si="29"/>
        <v>387.35166666666669</v>
      </c>
      <c r="F81" s="345">
        <f t="shared" si="23"/>
        <v>387.35166666666669</v>
      </c>
      <c r="G81" s="342">
        <v>0</v>
      </c>
      <c r="H81" s="342">
        <v>0</v>
      </c>
      <c r="I81" s="342">
        <v>0</v>
      </c>
      <c r="J81" s="345">
        <f t="shared" si="31"/>
        <v>387.35166666666669</v>
      </c>
      <c r="K81" s="342">
        <v>0</v>
      </c>
      <c r="L81" s="342">
        <v>0</v>
      </c>
      <c r="M81" s="342">
        <v>0</v>
      </c>
      <c r="N81" s="342">
        <v>0</v>
      </c>
      <c r="O81" s="342">
        <v>0</v>
      </c>
      <c r="P81" s="342">
        <v>0</v>
      </c>
      <c r="Q81" s="342">
        <v>0</v>
      </c>
      <c r="R81" s="342">
        <v>0</v>
      </c>
      <c r="S81" s="342">
        <v>0</v>
      </c>
      <c r="T81" s="342">
        <v>0</v>
      </c>
      <c r="U81" s="342">
        <v>0</v>
      </c>
      <c r="V81" s="342" t="str">
        <f>'№2 ИП ТС'!A91</f>
        <v>3.1.28</v>
      </c>
      <c r="W81" s="332"/>
    </row>
    <row r="82" spans="1:24" ht="93.75" x14ac:dyDescent="0.3">
      <c r="A82" s="344" t="s">
        <v>696</v>
      </c>
      <c r="B82" s="341" t="str">
        <f>'№2 ИП ТС'!B92</f>
        <v>Реконструкция тепловых сетей (подземной прокладки с выносом на поверхность) в п. Верхний Ландех, ул. Строителей, д. 24А, от ТК-11 до ТК-12, L=13м, Ду80, надземная прокладка</v>
      </c>
      <c r="C82" s="342">
        <f>'№2 ИП ТС'!R92</f>
        <v>287.91500000000002</v>
      </c>
      <c r="D82" s="342">
        <v>0</v>
      </c>
      <c r="E82" s="345">
        <f t="shared" si="29"/>
        <v>287.91500000000002</v>
      </c>
      <c r="F82" s="345">
        <f t="shared" si="23"/>
        <v>287.91500000000002</v>
      </c>
      <c r="G82" s="342">
        <v>0</v>
      </c>
      <c r="H82" s="342">
        <v>0</v>
      </c>
      <c r="I82" s="342">
        <v>0</v>
      </c>
      <c r="J82" s="345">
        <f t="shared" si="31"/>
        <v>287.91500000000002</v>
      </c>
      <c r="K82" s="342">
        <v>0</v>
      </c>
      <c r="L82" s="342">
        <v>0</v>
      </c>
      <c r="M82" s="342">
        <v>0</v>
      </c>
      <c r="N82" s="342">
        <v>0</v>
      </c>
      <c r="O82" s="342">
        <v>0</v>
      </c>
      <c r="P82" s="342">
        <v>0</v>
      </c>
      <c r="Q82" s="342">
        <v>0</v>
      </c>
      <c r="R82" s="342">
        <v>0</v>
      </c>
      <c r="S82" s="342">
        <v>0</v>
      </c>
      <c r="T82" s="342">
        <v>0</v>
      </c>
      <c r="U82" s="342">
        <v>0</v>
      </c>
      <c r="V82" s="342" t="str">
        <f>'№2 ИП ТС'!A92</f>
        <v>3.1.29</v>
      </c>
      <c r="W82" s="332"/>
    </row>
    <row r="83" spans="1:24" ht="93.75" x14ac:dyDescent="0.3">
      <c r="A83" s="344" t="s">
        <v>697</v>
      </c>
      <c r="B83" s="341" t="str">
        <f>'№2 ИП ТС'!B93</f>
        <v>Реконструкция участка сети (подземной прокладки с выносом на поверхность) от ТК-12 до ул. Строителей, д.16, Ду50 мм длиной 11 м (надземная прокладка) котельная № 3 п. Верхний Ландех</v>
      </c>
      <c r="C83" s="342">
        <f>'№2 ИП ТС'!R93</f>
        <v>138.52000000000001</v>
      </c>
      <c r="D83" s="342">
        <v>0</v>
      </c>
      <c r="E83" s="345">
        <f t="shared" si="29"/>
        <v>138.52000000000001</v>
      </c>
      <c r="F83" s="345">
        <f t="shared" si="23"/>
        <v>138.52000000000001</v>
      </c>
      <c r="G83" s="342">
        <v>0</v>
      </c>
      <c r="H83" s="342">
        <v>0</v>
      </c>
      <c r="I83" s="342">
        <v>0</v>
      </c>
      <c r="J83" s="345">
        <f t="shared" si="31"/>
        <v>138.52000000000001</v>
      </c>
      <c r="K83" s="342">
        <v>0</v>
      </c>
      <c r="L83" s="342">
        <v>0</v>
      </c>
      <c r="M83" s="342">
        <v>0</v>
      </c>
      <c r="N83" s="342">
        <v>0</v>
      </c>
      <c r="O83" s="342">
        <v>0</v>
      </c>
      <c r="P83" s="342">
        <v>0</v>
      </c>
      <c r="Q83" s="342">
        <v>0</v>
      </c>
      <c r="R83" s="342">
        <v>0</v>
      </c>
      <c r="S83" s="342">
        <v>0</v>
      </c>
      <c r="T83" s="342">
        <v>0</v>
      </c>
      <c r="U83" s="342">
        <v>0</v>
      </c>
      <c r="V83" s="342" t="str">
        <f>'№2 ИП ТС'!A93</f>
        <v>3.1.30</v>
      </c>
      <c r="W83" s="332"/>
    </row>
    <row r="84" spans="1:24" ht="112.5" x14ac:dyDescent="0.3">
      <c r="A84" s="344" t="s">
        <v>698</v>
      </c>
      <c r="B84" s="341" t="str">
        <f>'№2 ИП ТС'!B94</f>
        <v>Реконструкция тепловых сетей (подземной прокладки с выносом на поверхность) в п. Верхний Ландех, ул. Строителей, д. 24А , от ТК-12 до ул. Строителей, д. 15, L=107,4 м, Дн76, надземная прокладка</v>
      </c>
      <c r="C84" s="342">
        <f>'№2 ИП ТС'!R94</f>
        <v>2378.6170000000002</v>
      </c>
      <c r="D84" s="342">
        <v>0</v>
      </c>
      <c r="E84" s="345">
        <f t="shared" si="29"/>
        <v>2378.6170000000002</v>
      </c>
      <c r="F84" s="345">
        <f t="shared" si="23"/>
        <v>2378.6170000000002</v>
      </c>
      <c r="G84" s="342">
        <v>0</v>
      </c>
      <c r="H84" s="342">
        <v>0</v>
      </c>
      <c r="I84" s="342">
        <v>0</v>
      </c>
      <c r="J84" s="345">
        <f t="shared" si="31"/>
        <v>2378.6170000000002</v>
      </c>
      <c r="K84" s="342">
        <v>0</v>
      </c>
      <c r="L84" s="342">
        <v>0</v>
      </c>
      <c r="M84" s="342">
        <v>0</v>
      </c>
      <c r="N84" s="342">
        <v>0</v>
      </c>
      <c r="O84" s="342">
        <v>0</v>
      </c>
      <c r="P84" s="342">
        <v>0</v>
      </c>
      <c r="Q84" s="342">
        <v>0</v>
      </c>
      <c r="R84" s="342">
        <v>0</v>
      </c>
      <c r="S84" s="342">
        <v>0</v>
      </c>
      <c r="T84" s="342">
        <v>0</v>
      </c>
      <c r="U84" s="342">
        <v>0</v>
      </c>
      <c r="V84" s="342" t="str">
        <f>'№2 ИП ТС'!A94</f>
        <v>3.1.31</v>
      </c>
      <c r="W84" s="332"/>
    </row>
    <row r="85" spans="1:24" ht="93.75" x14ac:dyDescent="0.3">
      <c r="A85" s="344" t="s">
        <v>699</v>
      </c>
      <c r="B85" s="341" t="str">
        <f>'№2 ИП ТС'!B95</f>
        <v>Реконструкция тепловых сетей (подземной прокладки с выносом на поверхность) в п. Верхний Ландех, ул. Строителей, д.24А , от ТК-4 до ТК-6, L=33,8м, Дн76, надземная прокладка</v>
      </c>
      <c r="C85" s="342">
        <f>'№2 ИП ТС'!R95</f>
        <v>748.57833333333338</v>
      </c>
      <c r="D85" s="342">
        <v>0</v>
      </c>
      <c r="E85" s="345">
        <f t="shared" si="29"/>
        <v>748.57833333333338</v>
      </c>
      <c r="F85" s="345">
        <f t="shared" si="23"/>
        <v>748.57833333333338</v>
      </c>
      <c r="G85" s="342">
        <v>0</v>
      </c>
      <c r="H85" s="342">
        <v>0</v>
      </c>
      <c r="I85" s="342">
        <v>0</v>
      </c>
      <c r="J85" s="345">
        <f t="shared" si="31"/>
        <v>748.57833333333338</v>
      </c>
      <c r="K85" s="342">
        <v>0</v>
      </c>
      <c r="L85" s="342">
        <v>0</v>
      </c>
      <c r="M85" s="342">
        <v>0</v>
      </c>
      <c r="N85" s="342">
        <v>0</v>
      </c>
      <c r="O85" s="342">
        <v>0</v>
      </c>
      <c r="P85" s="342">
        <v>0</v>
      </c>
      <c r="Q85" s="342">
        <v>0</v>
      </c>
      <c r="R85" s="342">
        <v>0</v>
      </c>
      <c r="S85" s="342">
        <v>0</v>
      </c>
      <c r="T85" s="342">
        <v>0</v>
      </c>
      <c r="U85" s="342">
        <v>0</v>
      </c>
      <c r="V85" s="342" t="str">
        <f>'№2 ИП ТС'!A95</f>
        <v>3.1.32</v>
      </c>
      <c r="W85" s="332"/>
    </row>
    <row r="86" spans="1:24" ht="93.75" x14ac:dyDescent="0.3">
      <c r="A86" s="344" t="s">
        <v>700</v>
      </c>
      <c r="B86" s="341" t="str">
        <f>'№2 ИП ТС'!B96</f>
        <v>Реконструкция тепловых сетей (подземной прокладки с выносом на поверхность) в п. Верхний Ландех, ул. Строителей, д. 24А, от ТК-6 до У-1, L=37м, Дн76, надземная прокладка</v>
      </c>
      <c r="C86" s="342">
        <f>'№2 ИП ТС'!R96</f>
        <v>819.44799999999998</v>
      </c>
      <c r="D86" s="342">
        <v>0</v>
      </c>
      <c r="E86" s="345">
        <f t="shared" si="29"/>
        <v>819.44799999999998</v>
      </c>
      <c r="F86" s="345">
        <f t="shared" si="23"/>
        <v>819.44799999999998</v>
      </c>
      <c r="G86" s="342">
        <v>0</v>
      </c>
      <c r="H86" s="342">
        <v>0</v>
      </c>
      <c r="I86" s="342">
        <v>0</v>
      </c>
      <c r="J86" s="345">
        <f t="shared" si="31"/>
        <v>819.44799999999998</v>
      </c>
      <c r="K86" s="342">
        <v>0</v>
      </c>
      <c r="L86" s="342">
        <v>0</v>
      </c>
      <c r="M86" s="342">
        <v>0</v>
      </c>
      <c r="N86" s="342">
        <v>0</v>
      </c>
      <c r="O86" s="342">
        <v>0</v>
      </c>
      <c r="P86" s="342">
        <v>0</v>
      </c>
      <c r="Q86" s="342">
        <v>0</v>
      </c>
      <c r="R86" s="342">
        <v>0</v>
      </c>
      <c r="S86" s="342">
        <v>0</v>
      </c>
      <c r="T86" s="342">
        <v>0</v>
      </c>
      <c r="U86" s="342">
        <v>0</v>
      </c>
      <c r="V86" s="342" t="str">
        <f>'№2 ИП ТС'!A96</f>
        <v>3.1.33</v>
      </c>
      <c r="W86" s="332"/>
    </row>
    <row r="87" spans="1:24" ht="93.75" x14ac:dyDescent="0.3">
      <c r="A87" s="344" t="s">
        <v>701</v>
      </c>
      <c r="B87" s="341" t="str">
        <f>'№2 ИП ТС'!B97</f>
        <v>Реконструкция тепловых сетей (подземной прокладки с выносом на поверхность) в п. Верхний Ландех,  ул. Строителей, д.24А ,от У-2 до ТК-9, L=2м, Дн76, надземная прокладка</v>
      </c>
      <c r="C87" s="342">
        <f>'№2 ИП ТС'!R97</f>
        <v>44.294166666666669</v>
      </c>
      <c r="D87" s="342">
        <v>0</v>
      </c>
      <c r="E87" s="345">
        <f t="shared" si="29"/>
        <v>44.294166666666669</v>
      </c>
      <c r="F87" s="345">
        <f t="shared" si="23"/>
        <v>44.294166666666669</v>
      </c>
      <c r="G87" s="342">
        <v>0</v>
      </c>
      <c r="H87" s="342">
        <v>0</v>
      </c>
      <c r="I87" s="342">
        <v>0</v>
      </c>
      <c r="J87" s="345">
        <f t="shared" si="31"/>
        <v>44.294166666666669</v>
      </c>
      <c r="K87" s="342">
        <v>0</v>
      </c>
      <c r="L87" s="342">
        <v>0</v>
      </c>
      <c r="M87" s="342">
        <v>0</v>
      </c>
      <c r="N87" s="342">
        <v>0</v>
      </c>
      <c r="O87" s="342">
        <v>0</v>
      </c>
      <c r="P87" s="342">
        <v>0</v>
      </c>
      <c r="Q87" s="342">
        <v>0</v>
      </c>
      <c r="R87" s="342">
        <v>0</v>
      </c>
      <c r="S87" s="342">
        <v>0</v>
      </c>
      <c r="T87" s="342">
        <v>0</v>
      </c>
      <c r="U87" s="342">
        <v>0</v>
      </c>
      <c r="V87" s="342" t="str">
        <f>'№2 ИП ТС'!A97</f>
        <v>3.1.34</v>
      </c>
      <c r="W87" s="332"/>
    </row>
    <row r="88" spans="1:24" ht="93.75" x14ac:dyDescent="0.3">
      <c r="A88" s="344" t="s">
        <v>702</v>
      </c>
      <c r="B88" s="341" t="str">
        <f>'№2 ИП ТС'!B98</f>
        <v>Реконструкция участка сети от ТК-9 до У-3, Дн45 мм длиной 42 м (подземной прокладки с выносом на поверхность) котельная № 3 п. Верхний Ландех, ул. Строителей, д. 24а</v>
      </c>
      <c r="C88" s="342">
        <f>'№2 ИП ТС'!R98</f>
        <v>486.01583333333338</v>
      </c>
      <c r="D88" s="342">
        <v>0</v>
      </c>
      <c r="E88" s="345">
        <f t="shared" si="29"/>
        <v>486.01583333333338</v>
      </c>
      <c r="F88" s="345">
        <f t="shared" si="23"/>
        <v>486.01583333333338</v>
      </c>
      <c r="G88" s="342">
        <v>0</v>
      </c>
      <c r="H88" s="342">
        <v>0</v>
      </c>
      <c r="I88" s="342">
        <v>0</v>
      </c>
      <c r="J88" s="345">
        <f t="shared" si="31"/>
        <v>486.01583333333338</v>
      </c>
      <c r="K88" s="342">
        <v>0</v>
      </c>
      <c r="L88" s="342">
        <v>0</v>
      </c>
      <c r="M88" s="342">
        <v>0</v>
      </c>
      <c r="N88" s="342">
        <v>0</v>
      </c>
      <c r="O88" s="342">
        <v>0</v>
      </c>
      <c r="P88" s="342">
        <v>0</v>
      </c>
      <c r="Q88" s="342">
        <v>0</v>
      </c>
      <c r="R88" s="342">
        <v>0</v>
      </c>
      <c r="S88" s="342">
        <v>0</v>
      </c>
      <c r="T88" s="342">
        <v>0</v>
      </c>
      <c r="U88" s="342">
        <v>0</v>
      </c>
      <c r="V88" s="342" t="str">
        <f>'№2 ИП ТС'!A98</f>
        <v>3.1.35</v>
      </c>
      <c r="W88" s="332"/>
    </row>
    <row r="89" spans="1:24" ht="112.5" x14ac:dyDescent="0.3">
      <c r="A89" s="344" t="s">
        <v>703</v>
      </c>
      <c r="B89" s="341" t="str">
        <f>'№2 ИП ТС'!B99</f>
        <v>Реконструкция тепловых сетей (подземной прокладки с выносом на поверхность) в п. Верхний Ландех, ул. Строителей, д.24А , от ТК-14 до ул. Строителей, д.20, L=16,1м, Ду80, надземная прокладка</v>
      </c>
      <c r="C89" s="342">
        <f>'№2 ИП ТС'!R99</f>
        <v>356.57083333333333</v>
      </c>
      <c r="D89" s="342">
        <v>0</v>
      </c>
      <c r="E89" s="345">
        <f t="shared" si="29"/>
        <v>356.57083333333333</v>
      </c>
      <c r="F89" s="345">
        <f t="shared" si="23"/>
        <v>356.57083333333333</v>
      </c>
      <c r="G89" s="342">
        <v>0</v>
      </c>
      <c r="H89" s="342">
        <v>0</v>
      </c>
      <c r="I89" s="342">
        <v>0</v>
      </c>
      <c r="J89" s="345">
        <f t="shared" si="31"/>
        <v>356.57083333333333</v>
      </c>
      <c r="K89" s="342">
        <v>0</v>
      </c>
      <c r="L89" s="342">
        <v>0</v>
      </c>
      <c r="M89" s="342">
        <v>0</v>
      </c>
      <c r="N89" s="342">
        <v>0</v>
      </c>
      <c r="O89" s="342">
        <v>0</v>
      </c>
      <c r="P89" s="342">
        <v>0</v>
      </c>
      <c r="Q89" s="342">
        <v>0</v>
      </c>
      <c r="R89" s="342">
        <v>0</v>
      </c>
      <c r="S89" s="342">
        <v>0</v>
      </c>
      <c r="T89" s="342">
        <v>0</v>
      </c>
      <c r="U89" s="342">
        <v>0</v>
      </c>
      <c r="V89" s="342" t="str">
        <f>'№2 ИП ТС'!A99</f>
        <v>3.1.36</v>
      </c>
      <c r="W89" s="332"/>
    </row>
    <row r="90" spans="1:24" ht="93.75" x14ac:dyDescent="0.3">
      <c r="A90" s="344" t="s">
        <v>704</v>
      </c>
      <c r="B90" s="341" t="str">
        <f>'№2 ИП ТС'!B100</f>
        <v>Реконструкция тепловых сетей (подземной прокладки с выносом на поверхность) в п. Верхний Ландех, ул. Строителей, д.24А , от ТК-14 до ТК-15, L=37м, Ду100, надземная прокладка</v>
      </c>
      <c r="C90" s="342">
        <f>'№2 ИП ТС'!R100</f>
        <v>843.05583333333334</v>
      </c>
      <c r="D90" s="342">
        <v>0</v>
      </c>
      <c r="E90" s="345">
        <f t="shared" si="29"/>
        <v>843.05583333333334</v>
      </c>
      <c r="F90" s="345">
        <f t="shared" si="23"/>
        <v>843.05583333333334</v>
      </c>
      <c r="G90" s="342">
        <v>0</v>
      </c>
      <c r="H90" s="342">
        <v>0</v>
      </c>
      <c r="I90" s="342">
        <v>0</v>
      </c>
      <c r="J90" s="345">
        <f t="shared" si="31"/>
        <v>843.05583333333334</v>
      </c>
      <c r="K90" s="342">
        <v>0</v>
      </c>
      <c r="L90" s="342">
        <v>0</v>
      </c>
      <c r="M90" s="342">
        <v>0</v>
      </c>
      <c r="N90" s="342">
        <v>0</v>
      </c>
      <c r="O90" s="342">
        <v>0</v>
      </c>
      <c r="P90" s="342">
        <v>0</v>
      </c>
      <c r="Q90" s="342">
        <v>0</v>
      </c>
      <c r="R90" s="342">
        <v>0</v>
      </c>
      <c r="S90" s="342">
        <v>0</v>
      </c>
      <c r="T90" s="342">
        <v>0</v>
      </c>
      <c r="U90" s="342">
        <v>0</v>
      </c>
      <c r="V90" s="342" t="str">
        <f>'№2 ИП ТС'!A100</f>
        <v>3.1.37</v>
      </c>
      <c r="W90" s="332"/>
    </row>
    <row r="91" spans="1:24" ht="112.5" x14ac:dyDescent="0.3">
      <c r="A91" s="344" t="s">
        <v>705</v>
      </c>
      <c r="B91" s="341" t="str">
        <f>'№2 ИП ТС'!B101</f>
        <v>Реконструкция тепловых сетей (подземной прокладки с выносом на поверхность) в п. Верхний Ландех, ул. Строителей, д.24А , от ТК-15 до ул. Строителей, д.22, L=23,5 м, Ду80, надземная прокладка</v>
      </c>
      <c r="C91" s="342">
        <f>'№2 ИП ТС'!R101</f>
        <v>520.46083333333331</v>
      </c>
      <c r="D91" s="342">
        <v>0</v>
      </c>
      <c r="E91" s="345">
        <f t="shared" si="29"/>
        <v>520.46083333333331</v>
      </c>
      <c r="F91" s="345">
        <f t="shared" ref="F91:F100" si="32">SUM(G91:U91)</f>
        <v>520.46083333333331</v>
      </c>
      <c r="G91" s="342">
        <v>0</v>
      </c>
      <c r="H91" s="342">
        <v>0</v>
      </c>
      <c r="I91" s="342">
        <v>0</v>
      </c>
      <c r="J91" s="345">
        <f t="shared" si="31"/>
        <v>520.46083333333331</v>
      </c>
      <c r="K91" s="342">
        <v>0</v>
      </c>
      <c r="L91" s="342">
        <v>0</v>
      </c>
      <c r="M91" s="342">
        <v>0</v>
      </c>
      <c r="N91" s="342">
        <v>0</v>
      </c>
      <c r="O91" s="342">
        <v>0</v>
      </c>
      <c r="P91" s="342">
        <v>0</v>
      </c>
      <c r="Q91" s="342">
        <v>0</v>
      </c>
      <c r="R91" s="342">
        <v>0</v>
      </c>
      <c r="S91" s="342">
        <v>0</v>
      </c>
      <c r="T91" s="342">
        <v>0</v>
      </c>
      <c r="U91" s="342">
        <v>0</v>
      </c>
      <c r="V91" s="342" t="str">
        <f>'№2 ИП ТС'!A101</f>
        <v>3.1.38</v>
      </c>
      <c r="W91" s="332"/>
    </row>
    <row r="92" spans="1:24" ht="75" x14ac:dyDescent="0.3">
      <c r="A92" s="344" t="s">
        <v>706</v>
      </c>
      <c r="B92" s="341" t="str">
        <f>'№2 ИП ТС'!B102</f>
        <v>Реконструкция тепловых сетей в п. Верхний Ландех, ул. Строителей, д. 24А ,от ТК-15 до ул. Строителей, д. 21, L=16,3м, Ду80, надземная прокладка</v>
      </c>
      <c r="C92" s="342">
        <f>'№2 ИП ТС'!R102</f>
        <v>361.00083333333339</v>
      </c>
      <c r="D92" s="342">
        <v>0</v>
      </c>
      <c r="E92" s="345">
        <f t="shared" si="29"/>
        <v>361.00083333333339</v>
      </c>
      <c r="F92" s="345">
        <f t="shared" si="32"/>
        <v>361.00083333333339</v>
      </c>
      <c r="G92" s="342">
        <v>0</v>
      </c>
      <c r="H92" s="342">
        <v>0</v>
      </c>
      <c r="I92" s="342">
        <v>0</v>
      </c>
      <c r="J92" s="345">
        <f t="shared" si="31"/>
        <v>361.00083333333339</v>
      </c>
      <c r="K92" s="342">
        <v>0</v>
      </c>
      <c r="L92" s="342">
        <v>0</v>
      </c>
      <c r="M92" s="342">
        <v>0</v>
      </c>
      <c r="N92" s="342">
        <v>0</v>
      </c>
      <c r="O92" s="342">
        <v>0</v>
      </c>
      <c r="P92" s="342">
        <v>0</v>
      </c>
      <c r="Q92" s="342">
        <v>0</v>
      </c>
      <c r="R92" s="342">
        <v>0</v>
      </c>
      <c r="S92" s="342">
        <v>0</v>
      </c>
      <c r="T92" s="342">
        <v>0</v>
      </c>
      <c r="U92" s="342">
        <v>0</v>
      </c>
      <c r="V92" s="342" t="str">
        <f>'№2 ИП ТС'!A102</f>
        <v>3.1.39</v>
      </c>
      <c r="W92" s="332"/>
    </row>
    <row r="93" spans="1:24" ht="93.75" x14ac:dyDescent="0.3">
      <c r="A93" s="344" t="s">
        <v>707</v>
      </c>
      <c r="B93" s="341" t="str">
        <f>'№2 ИП ТС'!B103</f>
        <v>Реконструкция тепловых сетей (подземной прокладки с выносом на поверхность) в п. Верхний Ландех, ул. Строителей, д.24А , от У-10А до ТК-14, L=12м, Ду100, надземная прокладка</v>
      </c>
      <c r="C93" s="342">
        <f>'№2 ИП ТС'!R103</f>
        <v>273.42599999999999</v>
      </c>
      <c r="D93" s="342">
        <v>0</v>
      </c>
      <c r="E93" s="345">
        <f t="shared" si="29"/>
        <v>273.42599999999999</v>
      </c>
      <c r="F93" s="345">
        <f t="shared" si="32"/>
        <v>273.42599999999999</v>
      </c>
      <c r="G93" s="342">
        <v>0</v>
      </c>
      <c r="H93" s="342">
        <v>0</v>
      </c>
      <c r="I93" s="342">
        <v>0</v>
      </c>
      <c r="J93" s="345">
        <f t="shared" si="31"/>
        <v>273.42599999999999</v>
      </c>
      <c r="K93" s="342">
        <v>0</v>
      </c>
      <c r="L93" s="342">
        <v>0</v>
      </c>
      <c r="M93" s="342">
        <v>0</v>
      </c>
      <c r="N93" s="342">
        <v>0</v>
      </c>
      <c r="O93" s="342">
        <v>0</v>
      </c>
      <c r="P93" s="342">
        <v>0</v>
      </c>
      <c r="Q93" s="342">
        <v>0</v>
      </c>
      <c r="R93" s="342">
        <v>0</v>
      </c>
      <c r="S93" s="342">
        <v>0</v>
      </c>
      <c r="T93" s="342">
        <v>0</v>
      </c>
      <c r="U93" s="342">
        <v>0</v>
      </c>
      <c r="V93" s="342" t="str">
        <f>'№2 ИП ТС'!A103</f>
        <v>3.1.40</v>
      </c>
      <c r="W93" s="332"/>
    </row>
    <row r="94" spans="1:24" ht="56.25" x14ac:dyDescent="0.3">
      <c r="A94" s="344" t="s">
        <v>708</v>
      </c>
      <c r="B94" s="341" t="str">
        <f>'№2 ИП ТС'!B104</f>
        <v>Реконструкция тепловых сетей в п. Верхний Ландех, от У-1 до У-2, L=11м, Ду80, надземная прокладка</v>
      </c>
      <c r="C94" s="342">
        <f>'№2 ИП ТС'!R104</f>
        <v>243.62</v>
      </c>
      <c r="D94" s="342">
        <v>0</v>
      </c>
      <c r="E94" s="345">
        <f t="shared" si="29"/>
        <v>243.62</v>
      </c>
      <c r="F94" s="345">
        <f t="shared" si="32"/>
        <v>243.62</v>
      </c>
      <c r="G94" s="342">
        <v>0</v>
      </c>
      <c r="H94" s="342">
        <v>0</v>
      </c>
      <c r="I94" s="342">
        <v>0</v>
      </c>
      <c r="J94" s="345">
        <f t="shared" si="31"/>
        <v>243.62</v>
      </c>
      <c r="K94" s="342">
        <v>0</v>
      </c>
      <c r="L94" s="342">
        <v>0</v>
      </c>
      <c r="M94" s="342">
        <v>0</v>
      </c>
      <c r="N94" s="342">
        <v>0</v>
      </c>
      <c r="O94" s="342">
        <v>0</v>
      </c>
      <c r="P94" s="342">
        <v>0</v>
      </c>
      <c r="Q94" s="342">
        <v>0</v>
      </c>
      <c r="R94" s="342">
        <v>0</v>
      </c>
      <c r="S94" s="342">
        <v>0</v>
      </c>
      <c r="T94" s="342">
        <v>0</v>
      </c>
      <c r="U94" s="342">
        <v>0</v>
      </c>
      <c r="V94" s="342" t="str">
        <f>'№2 ИП ТС'!A104</f>
        <v>3.1.41</v>
      </c>
      <c r="W94" s="332"/>
    </row>
    <row r="95" spans="1:24" ht="93.75" x14ac:dyDescent="0.3">
      <c r="A95" s="344" t="s">
        <v>709</v>
      </c>
      <c r="B95" s="341" t="str">
        <f>'№2 ИП ТС'!B105</f>
        <v>Реконструкция тепловых сетей (подземной прокладки с выносом на поверхность) в п. Верхний Ландех, от У-2 до У-4, L=24,5м, Ду80, надземная прокладка</v>
      </c>
      <c r="C95" s="342">
        <f>'№2 ИП ТС'!R105</f>
        <v>542.60833333333335</v>
      </c>
      <c r="D95" s="342">
        <v>0</v>
      </c>
      <c r="E95" s="345">
        <f t="shared" si="29"/>
        <v>542.60833333333335</v>
      </c>
      <c r="F95" s="345">
        <f t="shared" si="32"/>
        <v>542.60833333333335</v>
      </c>
      <c r="G95" s="342">
        <v>0</v>
      </c>
      <c r="H95" s="342">
        <v>0</v>
      </c>
      <c r="I95" s="342">
        <v>0</v>
      </c>
      <c r="J95" s="345">
        <f t="shared" si="31"/>
        <v>542.60833333333335</v>
      </c>
      <c r="K95" s="342">
        <v>0</v>
      </c>
      <c r="L95" s="342">
        <v>0</v>
      </c>
      <c r="M95" s="342">
        <v>0</v>
      </c>
      <c r="N95" s="342">
        <v>0</v>
      </c>
      <c r="O95" s="342">
        <v>0</v>
      </c>
      <c r="P95" s="342">
        <v>0</v>
      </c>
      <c r="Q95" s="342">
        <v>0</v>
      </c>
      <c r="R95" s="342">
        <v>0</v>
      </c>
      <c r="S95" s="342">
        <v>0</v>
      </c>
      <c r="T95" s="342">
        <v>0</v>
      </c>
      <c r="U95" s="342">
        <v>0</v>
      </c>
      <c r="V95" s="342" t="str">
        <f>'№2 ИП ТС'!A105</f>
        <v>3.1.42</v>
      </c>
      <c r="W95" s="332"/>
    </row>
    <row r="96" spans="1:24" s="347" customFormat="1" ht="56.25" customHeight="1" x14ac:dyDescent="0.3">
      <c r="A96" s="333" t="s">
        <v>184</v>
      </c>
      <c r="B96" s="341" t="s">
        <v>208</v>
      </c>
      <c r="C96" s="342">
        <f t="shared" si="19"/>
        <v>0</v>
      </c>
      <c r="D96" s="342">
        <v>0</v>
      </c>
      <c r="E96" s="342">
        <v>0</v>
      </c>
      <c r="F96" s="345">
        <f t="shared" si="32"/>
        <v>0</v>
      </c>
      <c r="G96" s="342">
        <v>0</v>
      </c>
      <c r="H96" s="342">
        <v>0</v>
      </c>
      <c r="I96" s="342">
        <v>0</v>
      </c>
      <c r="J96" s="342">
        <v>0</v>
      </c>
      <c r="K96" s="342">
        <v>0</v>
      </c>
      <c r="L96" s="342">
        <v>0</v>
      </c>
      <c r="M96" s="342">
        <v>0</v>
      </c>
      <c r="N96" s="342">
        <v>0</v>
      </c>
      <c r="O96" s="342">
        <v>0</v>
      </c>
      <c r="P96" s="342">
        <v>0</v>
      </c>
      <c r="Q96" s="342">
        <v>0</v>
      </c>
      <c r="R96" s="342">
        <v>0</v>
      </c>
      <c r="S96" s="342">
        <v>0</v>
      </c>
      <c r="T96" s="342">
        <v>0</v>
      </c>
      <c r="U96" s="342">
        <v>0</v>
      </c>
      <c r="V96" s="337"/>
      <c r="W96" s="346"/>
      <c r="X96" s="346"/>
    </row>
    <row r="97" spans="1:24" s="347" customFormat="1" ht="165.75" customHeight="1" x14ac:dyDescent="0.3">
      <c r="A97" s="334" t="s">
        <v>185</v>
      </c>
      <c r="B97" s="335" t="s">
        <v>252</v>
      </c>
      <c r="C97" s="336">
        <f>SUM(C98:C100)</f>
        <v>25000</v>
      </c>
      <c r="D97" s="336">
        <f t="shared" ref="D97:U97" si="33">SUM(D98:D100)</f>
        <v>25000</v>
      </c>
      <c r="E97" s="336">
        <f t="shared" si="33"/>
        <v>0</v>
      </c>
      <c r="F97" s="345">
        <f t="shared" si="32"/>
        <v>25000</v>
      </c>
      <c r="G97" s="336">
        <f t="shared" si="33"/>
        <v>0</v>
      </c>
      <c r="H97" s="336">
        <f t="shared" si="33"/>
        <v>0</v>
      </c>
      <c r="I97" s="336">
        <f t="shared" si="33"/>
        <v>25000</v>
      </c>
      <c r="J97" s="336">
        <f t="shared" si="33"/>
        <v>0</v>
      </c>
      <c r="K97" s="336">
        <f t="shared" si="33"/>
        <v>0</v>
      </c>
      <c r="L97" s="336">
        <f t="shared" si="33"/>
        <v>0</v>
      </c>
      <c r="M97" s="336">
        <f t="shared" si="33"/>
        <v>0</v>
      </c>
      <c r="N97" s="336">
        <f t="shared" si="33"/>
        <v>0</v>
      </c>
      <c r="O97" s="336">
        <f t="shared" si="33"/>
        <v>0</v>
      </c>
      <c r="P97" s="336">
        <f t="shared" si="33"/>
        <v>0</v>
      </c>
      <c r="Q97" s="336">
        <f t="shared" si="33"/>
        <v>0</v>
      </c>
      <c r="R97" s="336">
        <f t="shared" si="33"/>
        <v>0</v>
      </c>
      <c r="S97" s="336">
        <f t="shared" si="33"/>
        <v>0</v>
      </c>
      <c r="T97" s="336">
        <f t="shared" si="33"/>
        <v>0</v>
      </c>
      <c r="U97" s="336">
        <f t="shared" si="33"/>
        <v>0</v>
      </c>
      <c r="V97" s="337"/>
      <c r="W97" s="346"/>
      <c r="X97" s="346"/>
    </row>
    <row r="98" spans="1:24" s="347" customFormat="1" ht="105" customHeight="1" x14ac:dyDescent="0.3">
      <c r="A98" s="344" t="s">
        <v>5</v>
      </c>
      <c r="B98" s="335" t="str">
        <f>'№2 ИП ТС'!B31</f>
        <v>Строительство БМК мощностью 2,5 МВт в п. Верхний Ландех, в районе д. 1А по ул. Новая</v>
      </c>
      <c r="C98" s="336">
        <f>'№2 ИП ТС'!AN31</f>
        <v>11256.286</v>
      </c>
      <c r="D98" s="336">
        <f>C98</f>
        <v>11256.286</v>
      </c>
      <c r="E98" s="336">
        <v>0</v>
      </c>
      <c r="F98" s="345">
        <f t="shared" si="32"/>
        <v>11256.286</v>
      </c>
      <c r="G98" s="336">
        <v>0</v>
      </c>
      <c r="H98" s="336">
        <v>0</v>
      </c>
      <c r="I98" s="336">
        <f>C98</f>
        <v>11256.286</v>
      </c>
      <c r="J98" s="336">
        <v>0</v>
      </c>
      <c r="K98" s="336">
        <v>0</v>
      </c>
      <c r="L98" s="336">
        <v>0</v>
      </c>
      <c r="M98" s="336">
        <v>0</v>
      </c>
      <c r="N98" s="336">
        <v>0</v>
      </c>
      <c r="O98" s="336">
        <v>0</v>
      </c>
      <c r="P98" s="336">
        <v>0</v>
      </c>
      <c r="Q98" s="336">
        <v>0</v>
      </c>
      <c r="R98" s="336">
        <v>0</v>
      </c>
      <c r="S98" s="336">
        <v>0</v>
      </c>
      <c r="T98" s="336">
        <v>0</v>
      </c>
      <c r="U98" s="336">
        <v>0</v>
      </c>
      <c r="V98" s="337" t="str">
        <f>'№2 ИП ТС'!A31</f>
        <v>2.1</v>
      </c>
      <c r="W98" s="346"/>
      <c r="X98" s="346"/>
    </row>
    <row r="99" spans="1:24" s="347" customFormat="1" ht="98.25" customHeight="1" x14ac:dyDescent="0.3">
      <c r="A99" s="344" t="s">
        <v>6</v>
      </c>
      <c r="B99" s="335" t="str">
        <f>'№2 ИП ТС'!B38</f>
        <v>Строительство БМК мощностью 0,4 МВт в п.Верхний Ландех, в районе ул. Октябрьская д. 37А</v>
      </c>
      <c r="C99" s="336">
        <f>'№2 ИП ТС'!R38</f>
        <v>6871.857</v>
      </c>
      <c r="D99" s="336">
        <f>C99</f>
        <v>6871.857</v>
      </c>
      <c r="E99" s="336">
        <v>0</v>
      </c>
      <c r="F99" s="345">
        <f t="shared" si="32"/>
        <v>6871.857</v>
      </c>
      <c r="G99" s="336">
        <v>0</v>
      </c>
      <c r="H99" s="336">
        <v>0</v>
      </c>
      <c r="I99" s="336">
        <f>C99</f>
        <v>6871.857</v>
      </c>
      <c r="J99" s="336">
        <v>0</v>
      </c>
      <c r="K99" s="336">
        <v>0</v>
      </c>
      <c r="L99" s="336">
        <v>0</v>
      </c>
      <c r="M99" s="336">
        <v>0</v>
      </c>
      <c r="N99" s="336">
        <v>0</v>
      </c>
      <c r="O99" s="336">
        <v>0</v>
      </c>
      <c r="P99" s="336">
        <v>0</v>
      </c>
      <c r="Q99" s="336">
        <v>0</v>
      </c>
      <c r="R99" s="336">
        <v>0</v>
      </c>
      <c r="S99" s="336">
        <v>0</v>
      </c>
      <c r="T99" s="336">
        <v>0</v>
      </c>
      <c r="U99" s="336">
        <v>0</v>
      </c>
      <c r="V99" s="337" t="str">
        <f>'№2 ИП ТС'!A38</f>
        <v>2.8</v>
      </c>
      <c r="W99" s="346"/>
      <c r="X99" s="346"/>
    </row>
    <row r="100" spans="1:24" s="347" customFormat="1" ht="143.25" customHeight="1" x14ac:dyDescent="0.3">
      <c r="A100" s="344" t="s">
        <v>7</v>
      </c>
      <c r="B100" s="335" t="str">
        <f>'№2 ИП ТС'!B54</f>
        <v>Строительство БМК мощностью 0,4 МВт в п. Верхний Ландех, в районе пер. Школьный, д. 2</v>
      </c>
      <c r="C100" s="336">
        <f>'№2 ИП ТС'!R54</f>
        <v>6871.857</v>
      </c>
      <c r="D100" s="336">
        <f>C100</f>
        <v>6871.857</v>
      </c>
      <c r="E100" s="336">
        <v>0</v>
      </c>
      <c r="F100" s="345">
        <f t="shared" si="32"/>
        <v>6871.857</v>
      </c>
      <c r="G100" s="336">
        <v>0</v>
      </c>
      <c r="H100" s="336">
        <v>0</v>
      </c>
      <c r="I100" s="336">
        <f>C100</f>
        <v>6871.857</v>
      </c>
      <c r="J100" s="336">
        <v>0</v>
      </c>
      <c r="K100" s="336">
        <v>0</v>
      </c>
      <c r="L100" s="336">
        <v>0</v>
      </c>
      <c r="M100" s="336">
        <v>0</v>
      </c>
      <c r="N100" s="336">
        <v>0</v>
      </c>
      <c r="O100" s="336">
        <v>0</v>
      </c>
      <c r="P100" s="336">
        <v>0</v>
      </c>
      <c r="Q100" s="336">
        <v>0</v>
      </c>
      <c r="R100" s="336">
        <v>0</v>
      </c>
      <c r="S100" s="336">
        <v>0</v>
      </c>
      <c r="T100" s="336">
        <v>0</v>
      </c>
      <c r="U100" s="336">
        <v>0</v>
      </c>
      <c r="V100" s="337" t="str">
        <f>'№2 ИП ТС'!A54</f>
        <v>2.24</v>
      </c>
      <c r="W100" s="346"/>
      <c r="X100" s="346"/>
    </row>
    <row r="101" spans="1:24" s="347" customFormat="1" ht="63" customHeight="1" x14ac:dyDescent="0.3">
      <c r="A101" s="334" t="s">
        <v>186</v>
      </c>
      <c r="B101" s="335" t="s">
        <v>209</v>
      </c>
      <c r="C101" s="336">
        <f>SUM(G101:U101)</f>
        <v>0</v>
      </c>
      <c r="D101" s="336">
        <v>0</v>
      </c>
      <c r="E101" s="336">
        <f>SUM(G101:S101)</f>
        <v>0</v>
      </c>
      <c r="F101" s="336">
        <f>SUM(G101:U101)</f>
        <v>0</v>
      </c>
      <c r="G101" s="336">
        <v>0</v>
      </c>
      <c r="H101" s="336">
        <v>0</v>
      </c>
      <c r="I101" s="336">
        <v>0</v>
      </c>
      <c r="J101" s="336">
        <v>0</v>
      </c>
      <c r="K101" s="336">
        <v>0</v>
      </c>
      <c r="L101" s="336">
        <v>0</v>
      </c>
      <c r="M101" s="336">
        <v>0</v>
      </c>
      <c r="N101" s="336">
        <v>0</v>
      </c>
      <c r="O101" s="336">
        <v>0</v>
      </c>
      <c r="P101" s="336">
        <v>0</v>
      </c>
      <c r="Q101" s="336">
        <v>0</v>
      </c>
      <c r="R101" s="336">
        <v>0</v>
      </c>
      <c r="S101" s="336">
        <v>0</v>
      </c>
      <c r="T101" s="336">
        <v>0</v>
      </c>
      <c r="U101" s="336">
        <v>0</v>
      </c>
      <c r="V101" s="337"/>
      <c r="W101" s="346"/>
      <c r="X101" s="346"/>
    </row>
    <row r="102" spans="1:24" s="347" customFormat="1" ht="56.25" customHeight="1" x14ac:dyDescent="0.3">
      <c r="A102" s="334"/>
      <c r="B102" s="335" t="s">
        <v>149</v>
      </c>
      <c r="C102" s="336">
        <f>SUM(G102:U102)</f>
        <v>95995.746333333329</v>
      </c>
      <c r="D102" s="336">
        <f t="shared" ref="D102:U102" si="34">D14+D23+D97+D101</f>
        <v>70552.033999999985</v>
      </c>
      <c r="E102" s="336">
        <f t="shared" si="34"/>
        <v>25443.712333333333</v>
      </c>
      <c r="F102" s="336">
        <f t="shared" si="34"/>
        <v>95995.746333333358</v>
      </c>
      <c r="G102" s="336">
        <f t="shared" si="34"/>
        <v>0</v>
      </c>
      <c r="H102" s="336">
        <f t="shared" si="34"/>
        <v>49671.902999999998</v>
      </c>
      <c r="I102" s="336">
        <f t="shared" si="34"/>
        <v>36913.603999999999</v>
      </c>
      <c r="J102" s="336">
        <f t="shared" si="34"/>
        <v>9410.239333333333</v>
      </c>
      <c r="K102" s="336">
        <f t="shared" si="34"/>
        <v>0</v>
      </c>
      <c r="L102" s="336">
        <f t="shared" si="34"/>
        <v>0</v>
      </c>
      <c r="M102" s="336">
        <f t="shared" si="34"/>
        <v>0</v>
      </c>
      <c r="N102" s="336">
        <f t="shared" si="34"/>
        <v>0</v>
      </c>
      <c r="O102" s="336">
        <f t="shared" si="34"/>
        <v>0</v>
      </c>
      <c r="P102" s="336">
        <f t="shared" si="34"/>
        <v>0</v>
      </c>
      <c r="Q102" s="336">
        <f t="shared" si="34"/>
        <v>0</v>
      </c>
      <c r="R102" s="336">
        <f t="shared" si="34"/>
        <v>0</v>
      </c>
      <c r="S102" s="336">
        <f t="shared" si="34"/>
        <v>0</v>
      </c>
      <c r="T102" s="336">
        <f t="shared" si="34"/>
        <v>0</v>
      </c>
      <c r="U102" s="336">
        <f t="shared" si="34"/>
        <v>0</v>
      </c>
      <c r="V102" s="348"/>
      <c r="W102" s="346"/>
      <c r="X102" s="346"/>
    </row>
    <row r="103" spans="1:24" s="347" customFormat="1" ht="35.25" customHeight="1" x14ac:dyDescent="0.3">
      <c r="A103" s="464" t="s">
        <v>210</v>
      </c>
      <c r="B103" s="465"/>
      <c r="C103" s="465"/>
      <c r="D103" s="465"/>
      <c r="E103" s="465"/>
      <c r="F103" s="465"/>
      <c r="G103" s="465"/>
      <c r="H103" s="465"/>
      <c r="I103" s="465"/>
      <c r="J103" s="465"/>
      <c r="K103" s="465"/>
      <c r="L103" s="465"/>
      <c r="M103" s="465"/>
      <c r="N103" s="465"/>
      <c r="O103" s="465"/>
      <c r="P103" s="465"/>
      <c r="Q103" s="465"/>
      <c r="R103" s="465"/>
      <c r="S103" s="465"/>
      <c r="T103" s="465"/>
      <c r="U103" s="465"/>
      <c r="V103" s="465"/>
      <c r="W103" s="346"/>
      <c r="X103" s="346"/>
    </row>
    <row r="104" spans="1:24" s="347" customFormat="1" ht="68.25" customHeight="1" x14ac:dyDescent="0.3">
      <c r="A104" s="349" t="s">
        <v>29</v>
      </c>
      <c r="B104" s="350" t="s">
        <v>199</v>
      </c>
      <c r="C104" s="351">
        <f>D104+E104</f>
        <v>70995.746333333329</v>
      </c>
      <c r="D104" s="351">
        <f t="shared" ref="D104:U104" si="35">D105+D200+D201+D202</f>
        <v>45552.033999999992</v>
      </c>
      <c r="E104" s="351">
        <f t="shared" si="35"/>
        <v>25443.712333333333</v>
      </c>
      <c r="F104" s="351">
        <f t="shared" si="35"/>
        <v>70995.746333333344</v>
      </c>
      <c r="G104" s="351">
        <f t="shared" si="35"/>
        <v>0</v>
      </c>
      <c r="H104" s="351">
        <f t="shared" si="35"/>
        <v>0</v>
      </c>
      <c r="I104" s="351">
        <f t="shared" si="35"/>
        <v>4967.1903000000002</v>
      </c>
      <c r="J104" s="351">
        <f t="shared" si="35"/>
        <v>6158.5507000000016</v>
      </c>
      <c r="K104" s="351">
        <f t="shared" si="35"/>
        <v>7099.5746333333373</v>
      </c>
      <c r="L104" s="351">
        <f t="shared" si="35"/>
        <v>7099.5746333333373</v>
      </c>
      <c r="M104" s="351">
        <f t="shared" si="35"/>
        <v>7099.5746333333373</v>
      </c>
      <c r="N104" s="351">
        <f t="shared" si="35"/>
        <v>7099.5746333333373</v>
      </c>
      <c r="O104" s="351">
        <f t="shared" si="35"/>
        <v>7099.5746333333373</v>
      </c>
      <c r="P104" s="351">
        <f t="shared" si="35"/>
        <v>7099.5746333333373</v>
      </c>
      <c r="Q104" s="351">
        <f t="shared" si="35"/>
        <v>7099.5746333333373</v>
      </c>
      <c r="R104" s="351">
        <f t="shared" si="35"/>
        <v>7099.5746333333373</v>
      </c>
      <c r="S104" s="351">
        <f t="shared" si="35"/>
        <v>2132.3843333333334</v>
      </c>
      <c r="T104" s="351">
        <f t="shared" si="35"/>
        <v>941.02393333333316</v>
      </c>
      <c r="U104" s="351">
        <f t="shared" si="35"/>
        <v>0</v>
      </c>
      <c r="V104" s="351"/>
      <c r="W104" s="386">
        <f>SUM(I104:U104)</f>
        <v>70995.746333333373</v>
      </c>
      <c r="X104" s="346"/>
    </row>
    <row r="105" spans="1:24" s="347" customFormat="1" ht="82.5" customHeight="1" x14ac:dyDescent="0.3">
      <c r="A105" s="352" t="s">
        <v>25</v>
      </c>
      <c r="B105" s="353" t="s">
        <v>253</v>
      </c>
      <c r="C105" s="345">
        <f>D105+E105</f>
        <v>70995.746333333329</v>
      </c>
      <c r="D105" s="345">
        <f t="shared" ref="D105:U105" si="36">SUM(D106:D175)</f>
        <v>45552.033999999992</v>
      </c>
      <c r="E105" s="345">
        <f t="shared" si="36"/>
        <v>25443.712333333333</v>
      </c>
      <c r="F105" s="345">
        <f t="shared" si="36"/>
        <v>70995.746333333344</v>
      </c>
      <c r="G105" s="345">
        <f t="shared" si="36"/>
        <v>0</v>
      </c>
      <c r="H105" s="345">
        <f t="shared" si="36"/>
        <v>0</v>
      </c>
      <c r="I105" s="345">
        <f t="shared" si="36"/>
        <v>4967.1903000000002</v>
      </c>
      <c r="J105" s="345">
        <f t="shared" si="36"/>
        <v>6158.5507000000016</v>
      </c>
      <c r="K105" s="345">
        <f t="shared" si="36"/>
        <v>7099.5746333333373</v>
      </c>
      <c r="L105" s="345">
        <f t="shared" si="36"/>
        <v>7099.5746333333373</v>
      </c>
      <c r="M105" s="345">
        <f t="shared" si="36"/>
        <v>7099.5746333333373</v>
      </c>
      <c r="N105" s="345">
        <f t="shared" si="36"/>
        <v>7099.5746333333373</v>
      </c>
      <c r="O105" s="345">
        <f t="shared" si="36"/>
        <v>7099.5746333333373</v>
      </c>
      <c r="P105" s="345">
        <f t="shared" si="36"/>
        <v>7099.5746333333373</v>
      </c>
      <c r="Q105" s="345">
        <f t="shared" si="36"/>
        <v>7099.5746333333373</v>
      </c>
      <c r="R105" s="345">
        <f t="shared" si="36"/>
        <v>7099.5746333333373</v>
      </c>
      <c r="S105" s="345">
        <f t="shared" si="36"/>
        <v>2132.3843333333334</v>
      </c>
      <c r="T105" s="345">
        <f t="shared" si="36"/>
        <v>941.02393333333316</v>
      </c>
      <c r="U105" s="345">
        <f t="shared" si="36"/>
        <v>0</v>
      </c>
      <c r="V105" s="342"/>
      <c r="W105" s="346"/>
      <c r="X105" s="346"/>
    </row>
    <row r="106" spans="1:24" s="347" customFormat="1" ht="58.5" customHeight="1" x14ac:dyDescent="0.3">
      <c r="A106" s="344" t="s">
        <v>113</v>
      </c>
      <c r="B106" s="353" t="str">
        <f t="shared" ref="B106:E125" si="37">B26</f>
        <v>Строительство БМК мощностью 2,5 МВт в п. Верхний Ландех, в районе д. 1А по ул. Новая</v>
      </c>
      <c r="C106" s="354">
        <f t="shared" si="37"/>
        <v>16233.991999999998</v>
      </c>
      <c r="D106" s="354">
        <f t="shared" si="37"/>
        <v>16233.991999999998</v>
      </c>
      <c r="E106" s="354">
        <f t="shared" si="37"/>
        <v>0</v>
      </c>
      <c r="F106" s="345">
        <f>SUM(G106:U106)</f>
        <v>16233.991999999998</v>
      </c>
      <c r="G106" s="354">
        <v>0</v>
      </c>
      <c r="H106" s="354">
        <v>0</v>
      </c>
      <c r="I106" s="345">
        <f>C106/10</f>
        <v>1623.3991999999998</v>
      </c>
      <c r="J106" s="345">
        <f>I106</f>
        <v>1623.3991999999998</v>
      </c>
      <c r="K106" s="345">
        <f t="shared" ref="K106:R106" si="38">J106</f>
        <v>1623.3991999999998</v>
      </c>
      <c r="L106" s="345">
        <f t="shared" si="38"/>
        <v>1623.3991999999998</v>
      </c>
      <c r="M106" s="345">
        <f t="shared" si="38"/>
        <v>1623.3991999999998</v>
      </c>
      <c r="N106" s="345">
        <f t="shared" si="38"/>
        <v>1623.3991999999998</v>
      </c>
      <c r="O106" s="345">
        <f t="shared" si="38"/>
        <v>1623.3991999999998</v>
      </c>
      <c r="P106" s="345">
        <f t="shared" si="38"/>
        <v>1623.3991999999998</v>
      </c>
      <c r="Q106" s="345">
        <f t="shared" si="38"/>
        <v>1623.3991999999998</v>
      </c>
      <c r="R106" s="345">
        <f t="shared" si="38"/>
        <v>1623.3991999999998</v>
      </c>
      <c r="S106" s="354">
        <v>0</v>
      </c>
      <c r="T106" s="354">
        <v>0</v>
      </c>
      <c r="U106" s="354">
        <v>0</v>
      </c>
      <c r="V106" s="342" t="str">
        <f t="shared" ref="V106:V137" si="39">V26</f>
        <v>2.1</v>
      </c>
      <c r="W106" s="346"/>
      <c r="X106" s="346"/>
    </row>
    <row r="107" spans="1:24" s="347" customFormat="1" ht="58.5" customHeight="1" x14ac:dyDescent="0.3">
      <c r="A107" s="344" t="s">
        <v>114</v>
      </c>
      <c r="B107" s="353" t="str">
        <f t="shared" si="37"/>
        <v>Строительство сетей газоснабжения в п. Верхний Ландех, в районе д. 1А по ул. Новая</v>
      </c>
      <c r="C107" s="354">
        <f t="shared" si="37"/>
        <v>261.08300000000003</v>
      </c>
      <c r="D107" s="354">
        <f t="shared" si="37"/>
        <v>261.08300000000003</v>
      </c>
      <c r="E107" s="354">
        <f t="shared" si="37"/>
        <v>0</v>
      </c>
      <c r="F107" s="345">
        <f t="shared" ref="F107:F169" si="40">SUM(G107:U107)</f>
        <v>261.08300000000008</v>
      </c>
      <c r="G107" s="354">
        <v>0</v>
      </c>
      <c r="H107" s="354">
        <v>0</v>
      </c>
      <c r="I107" s="345">
        <f t="shared" ref="I107:I132" si="41">C107/10</f>
        <v>26.108300000000003</v>
      </c>
      <c r="J107" s="345">
        <f t="shared" ref="J107:R107" si="42">I107</f>
        <v>26.108300000000003</v>
      </c>
      <c r="K107" s="345">
        <f t="shared" si="42"/>
        <v>26.108300000000003</v>
      </c>
      <c r="L107" s="345">
        <f t="shared" si="42"/>
        <v>26.108300000000003</v>
      </c>
      <c r="M107" s="345">
        <f t="shared" si="42"/>
        <v>26.108300000000003</v>
      </c>
      <c r="N107" s="345">
        <f t="shared" si="42"/>
        <v>26.108300000000003</v>
      </c>
      <c r="O107" s="345">
        <f t="shared" si="42"/>
        <v>26.108300000000003</v>
      </c>
      <c r="P107" s="345">
        <f t="shared" si="42"/>
        <v>26.108300000000003</v>
      </c>
      <c r="Q107" s="345">
        <f t="shared" si="42"/>
        <v>26.108300000000003</v>
      </c>
      <c r="R107" s="345">
        <f t="shared" si="42"/>
        <v>26.108300000000003</v>
      </c>
      <c r="S107" s="354">
        <v>0</v>
      </c>
      <c r="T107" s="354">
        <v>0</v>
      </c>
      <c r="U107" s="354">
        <v>0</v>
      </c>
      <c r="V107" s="342" t="str">
        <f t="shared" si="39"/>
        <v>2.2</v>
      </c>
      <c r="W107" s="346"/>
      <c r="X107" s="346"/>
    </row>
    <row r="108" spans="1:24" s="347" customFormat="1" ht="58.5" customHeight="1" x14ac:dyDescent="0.3">
      <c r="A108" s="344" t="s">
        <v>710</v>
      </c>
      <c r="B108" s="353" t="str">
        <f t="shared" si="37"/>
        <v>Строительство ГРПШ пропускной способностью 250 м3/час  в п. Верхний Ландех, в районе д. 1А по ул. Новая</v>
      </c>
      <c r="C108" s="354">
        <f t="shared" si="37"/>
        <v>278.892</v>
      </c>
      <c r="D108" s="354">
        <f t="shared" si="37"/>
        <v>278.892</v>
      </c>
      <c r="E108" s="354">
        <f t="shared" si="37"/>
        <v>0</v>
      </c>
      <c r="F108" s="345">
        <f t="shared" si="40"/>
        <v>278.89199999999994</v>
      </c>
      <c r="G108" s="354">
        <v>0</v>
      </c>
      <c r="H108" s="354">
        <v>0</v>
      </c>
      <c r="I108" s="345">
        <f t="shared" si="41"/>
        <v>27.889199999999999</v>
      </c>
      <c r="J108" s="345">
        <f t="shared" ref="J108:R108" si="43">I108</f>
        <v>27.889199999999999</v>
      </c>
      <c r="K108" s="345">
        <f t="shared" si="43"/>
        <v>27.889199999999999</v>
      </c>
      <c r="L108" s="345">
        <f t="shared" si="43"/>
        <v>27.889199999999999</v>
      </c>
      <c r="M108" s="345">
        <f t="shared" si="43"/>
        <v>27.889199999999999</v>
      </c>
      <c r="N108" s="345">
        <f t="shared" si="43"/>
        <v>27.889199999999999</v>
      </c>
      <c r="O108" s="345">
        <f t="shared" si="43"/>
        <v>27.889199999999999</v>
      </c>
      <c r="P108" s="345">
        <f t="shared" si="43"/>
        <v>27.889199999999999</v>
      </c>
      <c r="Q108" s="345">
        <f t="shared" si="43"/>
        <v>27.889199999999999</v>
      </c>
      <c r="R108" s="345">
        <f t="shared" si="43"/>
        <v>27.889199999999999</v>
      </c>
      <c r="S108" s="354">
        <v>0</v>
      </c>
      <c r="T108" s="354">
        <v>0</v>
      </c>
      <c r="U108" s="354">
        <v>0</v>
      </c>
      <c r="V108" s="342" t="str">
        <f t="shared" si="39"/>
        <v>2.3</v>
      </c>
      <c r="W108" s="346"/>
      <c r="X108" s="346"/>
    </row>
    <row r="109" spans="1:24" s="347" customFormat="1" ht="58.5" customHeight="1" x14ac:dyDescent="0.3">
      <c r="A109" s="344" t="s">
        <v>711</v>
      </c>
      <c r="B109" s="353" t="str">
        <f t="shared" si="37"/>
        <v>Строительство сетей водоснабжения в п. Верхний Ландех, в районе д. 1А по ул. Новая</v>
      </c>
      <c r="C109" s="354">
        <f t="shared" si="37"/>
        <v>421.30599999999998</v>
      </c>
      <c r="D109" s="354">
        <f t="shared" si="37"/>
        <v>421.30599999999998</v>
      </c>
      <c r="E109" s="354">
        <f t="shared" si="37"/>
        <v>0</v>
      </c>
      <c r="F109" s="345">
        <f t="shared" si="40"/>
        <v>421.3060000000001</v>
      </c>
      <c r="G109" s="354">
        <v>0</v>
      </c>
      <c r="H109" s="354">
        <v>0</v>
      </c>
      <c r="I109" s="345">
        <f t="shared" si="41"/>
        <v>42.130600000000001</v>
      </c>
      <c r="J109" s="345">
        <f t="shared" ref="J109:R109" si="44">I109</f>
        <v>42.130600000000001</v>
      </c>
      <c r="K109" s="345">
        <f t="shared" si="44"/>
        <v>42.130600000000001</v>
      </c>
      <c r="L109" s="345">
        <f t="shared" si="44"/>
        <v>42.130600000000001</v>
      </c>
      <c r="M109" s="345">
        <f t="shared" si="44"/>
        <v>42.130600000000001</v>
      </c>
      <c r="N109" s="345">
        <f t="shared" si="44"/>
        <v>42.130600000000001</v>
      </c>
      <c r="O109" s="345">
        <f t="shared" si="44"/>
        <v>42.130600000000001</v>
      </c>
      <c r="P109" s="345">
        <f t="shared" si="44"/>
        <v>42.130600000000001</v>
      </c>
      <c r="Q109" s="345">
        <f t="shared" si="44"/>
        <v>42.130600000000001</v>
      </c>
      <c r="R109" s="345">
        <f t="shared" si="44"/>
        <v>42.130600000000001</v>
      </c>
      <c r="S109" s="354">
        <v>0</v>
      </c>
      <c r="T109" s="354">
        <v>0</v>
      </c>
      <c r="U109" s="354">
        <v>0</v>
      </c>
      <c r="V109" s="342" t="str">
        <f t="shared" si="39"/>
        <v>2.4</v>
      </c>
      <c r="W109" s="346"/>
      <c r="X109" s="346"/>
    </row>
    <row r="110" spans="1:24" s="347" customFormat="1" ht="58.5" customHeight="1" x14ac:dyDescent="0.3">
      <c r="A110" s="344" t="s">
        <v>712</v>
      </c>
      <c r="B110" s="353" t="str">
        <f t="shared" si="37"/>
        <v xml:space="preserve"> Строительство сетей водоотведения в п. Верхний Ландех, в районе д. 1А по ул. Новая</v>
      </c>
      <c r="C110" s="354">
        <f t="shared" si="37"/>
        <v>443.54</v>
      </c>
      <c r="D110" s="354">
        <f t="shared" si="37"/>
        <v>443.54</v>
      </c>
      <c r="E110" s="354">
        <f t="shared" si="37"/>
        <v>0</v>
      </c>
      <c r="F110" s="345">
        <f t="shared" si="40"/>
        <v>443.53999999999991</v>
      </c>
      <c r="G110" s="354">
        <v>0</v>
      </c>
      <c r="H110" s="354">
        <v>0</v>
      </c>
      <c r="I110" s="345">
        <f t="shared" si="41"/>
        <v>44.353999999999999</v>
      </c>
      <c r="J110" s="345">
        <f t="shared" ref="J110:R110" si="45">I110</f>
        <v>44.353999999999999</v>
      </c>
      <c r="K110" s="345">
        <f t="shared" si="45"/>
        <v>44.353999999999999</v>
      </c>
      <c r="L110" s="345">
        <f t="shared" si="45"/>
        <v>44.353999999999999</v>
      </c>
      <c r="M110" s="345">
        <f t="shared" si="45"/>
        <v>44.353999999999999</v>
      </c>
      <c r="N110" s="345">
        <f t="shared" si="45"/>
        <v>44.353999999999999</v>
      </c>
      <c r="O110" s="345">
        <f t="shared" si="45"/>
        <v>44.353999999999999</v>
      </c>
      <c r="P110" s="345">
        <f t="shared" si="45"/>
        <v>44.353999999999999</v>
      </c>
      <c r="Q110" s="345">
        <f t="shared" si="45"/>
        <v>44.353999999999999</v>
      </c>
      <c r="R110" s="345">
        <f t="shared" si="45"/>
        <v>44.353999999999999</v>
      </c>
      <c r="S110" s="354">
        <v>0</v>
      </c>
      <c r="T110" s="354">
        <v>0</v>
      </c>
      <c r="U110" s="354">
        <v>0</v>
      </c>
      <c r="V110" s="342" t="str">
        <f t="shared" si="39"/>
        <v>2.5</v>
      </c>
      <c r="W110" s="346"/>
      <c r="X110" s="346"/>
    </row>
    <row r="111" spans="1:24" s="347" customFormat="1" ht="89.25" customHeight="1" x14ac:dyDescent="0.3">
      <c r="A111" s="344" t="s">
        <v>713</v>
      </c>
      <c r="B111" s="353" t="str">
        <f t="shared" si="37"/>
        <v xml:space="preserve"> Строительство электрических сетей в п. Верхний Ландех, в районе д. 1А по ул. Новая</v>
      </c>
      <c r="C111" s="354">
        <f t="shared" si="37"/>
        <v>183.6</v>
      </c>
      <c r="D111" s="354">
        <f t="shared" si="37"/>
        <v>183.6</v>
      </c>
      <c r="E111" s="354">
        <f t="shared" si="37"/>
        <v>0</v>
      </c>
      <c r="F111" s="345">
        <f t="shared" si="40"/>
        <v>183.60000000000002</v>
      </c>
      <c r="G111" s="354">
        <v>0</v>
      </c>
      <c r="H111" s="354">
        <v>0</v>
      </c>
      <c r="I111" s="345">
        <f t="shared" si="41"/>
        <v>18.36</v>
      </c>
      <c r="J111" s="345">
        <f t="shared" ref="J111:R111" si="46">I111</f>
        <v>18.36</v>
      </c>
      <c r="K111" s="345">
        <f t="shared" si="46"/>
        <v>18.36</v>
      </c>
      <c r="L111" s="345">
        <f t="shared" si="46"/>
        <v>18.36</v>
      </c>
      <c r="M111" s="345">
        <f t="shared" si="46"/>
        <v>18.36</v>
      </c>
      <c r="N111" s="345">
        <f t="shared" si="46"/>
        <v>18.36</v>
      </c>
      <c r="O111" s="345">
        <f t="shared" si="46"/>
        <v>18.36</v>
      </c>
      <c r="P111" s="345">
        <f t="shared" si="46"/>
        <v>18.36</v>
      </c>
      <c r="Q111" s="345">
        <f t="shared" si="46"/>
        <v>18.36</v>
      </c>
      <c r="R111" s="345">
        <f t="shared" si="46"/>
        <v>18.36</v>
      </c>
      <c r="S111" s="354">
        <v>0</v>
      </c>
      <c r="T111" s="354">
        <v>0</v>
      </c>
      <c r="U111" s="354">
        <v>0</v>
      </c>
      <c r="V111" s="342" t="str">
        <f t="shared" si="39"/>
        <v>2.6</v>
      </c>
      <c r="W111" s="346"/>
      <c r="X111" s="346"/>
    </row>
    <row r="112" spans="1:24" s="347" customFormat="1" ht="89.25" customHeight="1" x14ac:dyDescent="0.3">
      <c r="A112" s="344" t="s">
        <v>714</v>
      </c>
      <c r="B112" s="353" t="str">
        <f t="shared" si="37"/>
        <v xml:space="preserve"> Строительство надземного участка тепловых сетей от БМК 2,5МВт до У-1А D=159мм L=15м в 2-х трубном исчислении в п.Верхний Ландех, в районе д. 1А по ул. Новая</v>
      </c>
      <c r="C112" s="354">
        <f t="shared" si="37"/>
        <v>385.62599999999998</v>
      </c>
      <c r="D112" s="354">
        <f t="shared" si="37"/>
        <v>0</v>
      </c>
      <c r="E112" s="354">
        <f t="shared" si="37"/>
        <v>385.62599999999998</v>
      </c>
      <c r="F112" s="345">
        <f t="shared" si="40"/>
        <v>385.62599999999992</v>
      </c>
      <c r="G112" s="354">
        <v>0</v>
      </c>
      <c r="H112" s="354">
        <v>0</v>
      </c>
      <c r="I112" s="345">
        <f t="shared" si="41"/>
        <v>38.562599999999996</v>
      </c>
      <c r="J112" s="345">
        <f t="shared" ref="J112:R112" si="47">I112</f>
        <v>38.562599999999996</v>
      </c>
      <c r="K112" s="345">
        <f t="shared" si="47"/>
        <v>38.562599999999996</v>
      </c>
      <c r="L112" s="345">
        <f t="shared" si="47"/>
        <v>38.562599999999996</v>
      </c>
      <c r="M112" s="345">
        <f t="shared" si="47"/>
        <v>38.562599999999996</v>
      </c>
      <c r="N112" s="345">
        <f t="shared" si="47"/>
        <v>38.562599999999996</v>
      </c>
      <c r="O112" s="345">
        <f t="shared" si="47"/>
        <v>38.562599999999996</v>
      </c>
      <c r="P112" s="345">
        <f t="shared" si="47"/>
        <v>38.562599999999996</v>
      </c>
      <c r="Q112" s="345">
        <f t="shared" si="47"/>
        <v>38.562599999999996</v>
      </c>
      <c r="R112" s="345">
        <f t="shared" si="47"/>
        <v>38.562599999999996</v>
      </c>
      <c r="S112" s="354">
        <v>0</v>
      </c>
      <c r="T112" s="354">
        <v>0</v>
      </c>
      <c r="U112" s="354">
        <v>0</v>
      </c>
      <c r="V112" s="342" t="str">
        <f t="shared" si="39"/>
        <v>2.7</v>
      </c>
      <c r="W112" s="346"/>
      <c r="X112" s="346"/>
    </row>
    <row r="113" spans="1:24" s="347" customFormat="1" ht="89.25" customHeight="1" x14ac:dyDescent="0.3">
      <c r="A113" s="344" t="s">
        <v>715</v>
      </c>
      <c r="B113" s="353" t="str">
        <f t="shared" si="37"/>
        <v>Строительство сетей газоснабжения в п.Верхний Ландех, в районе ул. Октябрьская, д. 37А</v>
      </c>
      <c r="C113" s="354">
        <f t="shared" si="37"/>
        <v>246.81399999999999</v>
      </c>
      <c r="D113" s="354">
        <f t="shared" si="37"/>
        <v>246.81399999999999</v>
      </c>
      <c r="E113" s="354">
        <f t="shared" si="37"/>
        <v>0</v>
      </c>
      <c r="F113" s="345">
        <f t="shared" si="40"/>
        <v>246.81399999999999</v>
      </c>
      <c r="G113" s="354">
        <v>0</v>
      </c>
      <c r="H113" s="354">
        <v>0</v>
      </c>
      <c r="I113" s="345">
        <f t="shared" si="41"/>
        <v>24.6814</v>
      </c>
      <c r="J113" s="345">
        <f t="shared" ref="J113:R113" si="48">I113</f>
        <v>24.6814</v>
      </c>
      <c r="K113" s="345">
        <f t="shared" si="48"/>
        <v>24.6814</v>
      </c>
      <c r="L113" s="345">
        <f t="shared" si="48"/>
        <v>24.6814</v>
      </c>
      <c r="M113" s="345">
        <f t="shared" si="48"/>
        <v>24.6814</v>
      </c>
      <c r="N113" s="345">
        <f t="shared" si="48"/>
        <v>24.6814</v>
      </c>
      <c r="O113" s="345">
        <f t="shared" si="48"/>
        <v>24.6814</v>
      </c>
      <c r="P113" s="345">
        <f t="shared" si="48"/>
        <v>24.6814</v>
      </c>
      <c r="Q113" s="345">
        <f t="shared" si="48"/>
        <v>24.6814</v>
      </c>
      <c r="R113" s="345">
        <f t="shared" si="48"/>
        <v>24.6814</v>
      </c>
      <c r="S113" s="354">
        <v>0</v>
      </c>
      <c r="T113" s="354">
        <v>0</v>
      </c>
      <c r="U113" s="354">
        <v>0</v>
      </c>
      <c r="V113" s="342" t="str">
        <f t="shared" si="39"/>
        <v>2.9</v>
      </c>
      <c r="W113" s="346"/>
      <c r="X113" s="346"/>
    </row>
    <row r="114" spans="1:24" s="347" customFormat="1" ht="89.25" customHeight="1" x14ac:dyDescent="0.3">
      <c r="A114" s="344" t="s">
        <v>716</v>
      </c>
      <c r="B114" s="353" t="str">
        <f t="shared" si="37"/>
        <v>Строительство ГРПШ пропускной способностью 100 м3/час в п.Верхний Ландех, в районе ул. Октябрьская, д. 37А</v>
      </c>
      <c r="C114" s="354">
        <f t="shared" si="37"/>
        <v>331.10500000000002</v>
      </c>
      <c r="D114" s="354">
        <f t="shared" si="37"/>
        <v>331.10500000000002</v>
      </c>
      <c r="E114" s="354">
        <f t="shared" si="37"/>
        <v>0</v>
      </c>
      <c r="F114" s="345">
        <f t="shared" si="40"/>
        <v>331.10500000000002</v>
      </c>
      <c r="G114" s="354">
        <v>0</v>
      </c>
      <c r="H114" s="354">
        <v>0</v>
      </c>
      <c r="I114" s="345">
        <f t="shared" si="41"/>
        <v>33.110500000000002</v>
      </c>
      <c r="J114" s="345">
        <f t="shared" ref="J114:R114" si="49">I114</f>
        <v>33.110500000000002</v>
      </c>
      <c r="K114" s="345">
        <f t="shared" si="49"/>
        <v>33.110500000000002</v>
      </c>
      <c r="L114" s="345">
        <f t="shared" si="49"/>
        <v>33.110500000000002</v>
      </c>
      <c r="M114" s="345">
        <f t="shared" si="49"/>
        <v>33.110500000000002</v>
      </c>
      <c r="N114" s="345">
        <f t="shared" si="49"/>
        <v>33.110500000000002</v>
      </c>
      <c r="O114" s="345">
        <f t="shared" si="49"/>
        <v>33.110500000000002</v>
      </c>
      <c r="P114" s="345">
        <f t="shared" si="49"/>
        <v>33.110500000000002</v>
      </c>
      <c r="Q114" s="345">
        <f t="shared" si="49"/>
        <v>33.110500000000002</v>
      </c>
      <c r="R114" s="345">
        <f t="shared" si="49"/>
        <v>33.110500000000002</v>
      </c>
      <c r="S114" s="354">
        <v>0</v>
      </c>
      <c r="T114" s="354">
        <v>0</v>
      </c>
      <c r="U114" s="354">
        <v>0</v>
      </c>
      <c r="V114" s="342" t="str">
        <f t="shared" si="39"/>
        <v>2.10</v>
      </c>
      <c r="W114" s="346"/>
      <c r="X114" s="346"/>
    </row>
    <row r="115" spans="1:24" s="347" customFormat="1" ht="89.25" customHeight="1" x14ac:dyDescent="0.3">
      <c r="A115" s="344" t="s">
        <v>717</v>
      </c>
      <c r="B115" s="353" t="str">
        <f t="shared" si="37"/>
        <v>Строительство сетей водоснабжения в п.Верхний Ландех, в районе ул. Октябрьская, д. 37А</v>
      </c>
      <c r="C115" s="354">
        <f t="shared" si="37"/>
        <v>438.80399999999997</v>
      </c>
      <c r="D115" s="354">
        <f t="shared" si="37"/>
        <v>438.80399999999997</v>
      </c>
      <c r="E115" s="354">
        <f t="shared" si="37"/>
        <v>0</v>
      </c>
      <c r="F115" s="345">
        <f t="shared" si="40"/>
        <v>438.80400000000003</v>
      </c>
      <c r="G115" s="354">
        <v>0</v>
      </c>
      <c r="H115" s="354">
        <v>0</v>
      </c>
      <c r="I115" s="345">
        <f t="shared" si="41"/>
        <v>43.880399999999995</v>
      </c>
      <c r="J115" s="345">
        <f t="shared" ref="J115:R115" si="50">I115</f>
        <v>43.880399999999995</v>
      </c>
      <c r="K115" s="345">
        <f t="shared" si="50"/>
        <v>43.880399999999995</v>
      </c>
      <c r="L115" s="345">
        <f t="shared" si="50"/>
        <v>43.880399999999995</v>
      </c>
      <c r="M115" s="345">
        <f t="shared" si="50"/>
        <v>43.880399999999995</v>
      </c>
      <c r="N115" s="345">
        <f t="shared" si="50"/>
        <v>43.880399999999995</v>
      </c>
      <c r="O115" s="345">
        <f t="shared" si="50"/>
        <v>43.880399999999995</v>
      </c>
      <c r="P115" s="345">
        <f t="shared" si="50"/>
        <v>43.880399999999995</v>
      </c>
      <c r="Q115" s="345">
        <f t="shared" si="50"/>
        <v>43.880399999999995</v>
      </c>
      <c r="R115" s="345">
        <f t="shared" si="50"/>
        <v>43.880399999999995</v>
      </c>
      <c r="S115" s="354">
        <v>0</v>
      </c>
      <c r="T115" s="354">
        <v>0</v>
      </c>
      <c r="U115" s="354">
        <v>0</v>
      </c>
      <c r="V115" s="342" t="str">
        <f t="shared" si="39"/>
        <v>2.11</v>
      </c>
      <c r="W115" s="346"/>
      <c r="X115" s="346"/>
    </row>
    <row r="116" spans="1:24" s="347" customFormat="1" ht="89.25" customHeight="1" x14ac:dyDescent="0.3">
      <c r="A116" s="344" t="s">
        <v>718</v>
      </c>
      <c r="B116" s="353" t="str">
        <f t="shared" si="37"/>
        <v>Строительство сетей водоотведения в п.Верхний Ландех, в районе ул. Октябрьская, д. 37А</v>
      </c>
      <c r="C116" s="354">
        <f t="shared" si="37"/>
        <v>443.54</v>
      </c>
      <c r="D116" s="354">
        <f t="shared" si="37"/>
        <v>443.54</v>
      </c>
      <c r="E116" s="354">
        <f t="shared" si="37"/>
        <v>0</v>
      </c>
      <c r="F116" s="345">
        <f t="shared" si="40"/>
        <v>443.53999999999991</v>
      </c>
      <c r="G116" s="354">
        <v>0</v>
      </c>
      <c r="H116" s="354">
        <v>0</v>
      </c>
      <c r="I116" s="345">
        <f t="shared" si="41"/>
        <v>44.353999999999999</v>
      </c>
      <c r="J116" s="345">
        <f t="shared" ref="J116:R116" si="51">I116</f>
        <v>44.353999999999999</v>
      </c>
      <c r="K116" s="345">
        <f t="shared" si="51"/>
        <v>44.353999999999999</v>
      </c>
      <c r="L116" s="345">
        <f t="shared" si="51"/>
        <v>44.353999999999999</v>
      </c>
      <c r="M116" s="345">
        <f t="shared" si="51"/>
        <v>44.353999999999999</v>
      </c>
      <c r="N116" s="345">
        <f t="shared" si="51"/>
        <v>44.353999999999999</v>
      </c>
      <c r="O116" s="345">
        <f t="shared" si="51"/>
        <v>44.353999999999999</v>
      </c>
      <c r="P116" s="345">
        <f t="shared" si="51"/>
        <v>44.353999999999999</v>
      </c>
      <c r="Q116" s="345">
        <f t="shared" si="51"/>
        <v>44.353999999999999</v>
      </c>
      <c r="R116" s="345">
        <f t="shared" si="51"/>
        <v>44.353999999999999</v>
      </c>
      <c r="S116" s="354">
        <v>0</v>
      </c>
      <c r="T116" s="354">
        <v>0</v>
      </c>
      <c r="U116" s="354">
        <v>0</v>
      </c>
      <c r="V116" s="342" t="str">
        <f t="shared" si="39"/>
        <v>2.12</v>
      </c>
      <c r="W116" s="346"/>
      <c r="X116" s="346"/>
    </row>
    <row r="117" spans="1:24" s="347" customFormat="1" ht="89.25" customHeight="1" x14ac:dyDescent="0.3">
      <c r="A117" s="344" t="s">
        <v>719</v>
      </c>
      <c r="B117" s="353" t="str">
        <f t="shared" si="37"/>
        <v>Строительство электрических сетей в п.Верхний Ландех, в районе ул. Октябрьская, д. 37А</v>
      </c>
      <c r="C117" s="354">
        <f t="shared" si="37"/>
        <v>183.6</v>
      </c>
      <c r="D117" s="354">
        <f t="shared" si="37"/>
        <v>183.6</v>
      </c>
      <c r="E117" s="354">
        <f t="shared" si="37"/>
        <v>0</v>
      </c>
      <c r="F117" s="345">
        <f t="shared" si="40"/>
        <v>183.60000000000002</v>
      </c>
      <c r="G117" s="354">
        <v>0</v>
      </c>
      <c r="H117" s="354">
        <v>0</v>
      </c>
      <c r="I117" s="345">
        <f t="shared" si="41"/>
        <v>18.36</v>
      </c>
      <c r="J117" s="345">
        <f t="shared" ref="J117:R117" si="52">I117</f>
        <v>18.36</v>
      </c>
      <c r="K117" s="345">
        <f t="shared" si="52"/>
        <v>18.36</v>
      </c>
      <c r="L117" s="345">
        <f t="shared" si="52"/>
        <v>18.36</v>
      </c>
      <c r="M117" s="345">
        <f t="shared" si="52"/>
        <v>18.36</v>
      </c>
      <c r="N117" s="345">
        <f t="shared" si="52"/>
        <v>18.36</v>
      </c>
      <c r="O117" s="345">
        <f t="shared" si="52"/>
        <v>18.36</v>
      </c>
      <c r="P117" s="345">
        <f t="shared" si="52"/>
        <v>18.36</v>
      </c>
      <c r="Q117" s="345">
        <f t="shared" si="52"/>
        <v>18.36</v>
      </c>
      <c r="R117" s="345">
        <f t="shared" si="52"/>
        <v>18.36</v>
      </c>
      <c r="S117" s="354">
        <v>0</v>
      </c>
      <c r="T117" s="354">
        <v>0</v>
      </c>
      <c r="U117" s="354">
        <v>0</v>
      </c>
      <c r="V117" s="342" t="str">
        <f t="shared" si="39"/>
        <v>2.13</v>
      </c>
      <c r="W117" s="346"/>
      <c r="X117" s="346"/>
    </row>
    <row r="118" spans="1:24" s="347" customFormat="1" ht="89.25" customHeight="1" x14ac:dyDescent="0.3">
      <c r="A118" s="344" t="s">
        <v>720</v>
      </c>
      <c r="B118" s="353" t="str">
        <f t="shared" si="37"/>
        <v>Строительство надземного участка тепловых сетей от БМК 0,4МВт до У-1Б, D=108мм, L=35м (в 2-х трубном исчислении) в п. Верхний Ландех, в районе ул. Октябрьская, д. 37А</v>
      </c>
      <c r="C118" s="354">
        <f t="shared" si="37"/>
        <v>686.88499999999999</v>
      </c>
      <c r="D118" s="354">
        <f t="shared" si="37"/>
        <v>0</v>
      </c>
      <c r="E118" s="354">
        <f t="shared" si="37"/>
        <v>686.88499999999999</v>
      </c>
      <c r="F118" s="345">
        <f t="shared" si="40"/>
        <v>686.88499999999988</v>
      </c>
      <c r="G118" s="354">
        <v>0</v>
      </c>
      <c r="H118" s="354">
        <v>0</v>
      </c>
      <c r="I118" s="345">
        <f t="shared" si="41"/>
        <v>68.688500000000005</v>
      </c>
      <c r="J118" s="345">
        <f t="shared" ref="J118:R118" si="53">I118</f>
        <v>68.688500000000005</v>
      </c>
      <c r="K118" s="345">
        <f t="shared" si="53"/>
        <v>68.688500000000005</v>
      </c>
      <c r="L118" s="345">
        <f t="shared" si="53"/>
        <v>68.688500000000005</v>
      </c>
      <c r="M118" s="345">
        <f t="shared" si="53"/>
        <v>68.688500000000005</v>
      </c>
      <c r="N118" s="345">
        <f t="shared" si="53"/>
        <v>68.688500000000005</v>
      </c>
      <c r="O118" s="345">
        <f t="shared" si="53"/>
        <v>68.688500000000005</v>
      </c>
      <c r="P118" s="345">
        <f t="shared" si="53"/>
        <v>68.688500000000005</v>
      </c>
      <c r="Q118" s="345">
        <f t="shared" si="53"/>
        <v>68.688500000000005</v>
      </c>
      <c r="R118" s="345">
        <f t="shared" si="53"/>
        <v>68.688500000000005</v>
      </c>
      <c r="S118" s="354">
        <v>0</v>
      </c>
      <c r="T118" s="354">
        <v>0</v>
      </c>
      <c r="U118" s="354">
        <v>0</v>
      </c>
      <c r="V118" s="342" t="str">
        <f t="shared" si="39"/>
        <v>2.14</v>
      </c>
      <c r="W118" s="346"/>
      <c r="X118" s="346"/>
    </row>
    <row r="119" spans="1:24" s="347" customFormat="1" ht="89.25" customHeight="1" x14ac:dyDescent="0.3">
      <c r="A119" s="344" t="s">
        <v>721</v>
      </c>
      <c r="B119" s="353" t="str">
        <f t="shared" si="37"/>
        <v xml:space="preserve">Строительство БМК мощностью 2,0 МВт в п.Верхний Ландех, в районе ул. Строителей, д. 22       </v>
      </c>
      <c r="C119" s="354">
        <f t="shared" si="37"/>
        <v>22835.973999999998</v>
      </c>
      <c r="D119" s="354">
        <f t="shared" si="37"/>
        <v>22835.973999999998</v>
      </c>
      <c r="E119" s="354">
        <f t="shared" si="37"/>
        <v>0</v>
      </c>
      <c r="F119" s="345">
        <f t="shared" si="40"/>
        <v>22835.973999999991</v>
      </c>
      <c r="G119" s="354">
        <v>0</v>
      </c>
      <c r="H119" s="354">
        <v>0</v>
      </c>
      <c r="I119" s="345">
        <f t="shared" si="41"/>
        <v>2283.5973999999997</v>
      </c>
      <c r="J119" s="345">
        <f t="shared" ref="J119:R119" si="54">I119</f>
        <v>2283.5973999999997</v>
      </c>
      <c r="K119" s="345">
        <f t="shared" si="54"/>
        <v>2283.5973999999997</v>
      </c>
      <c r="L119" s="345">
        <f t="shared" si="54"/>
        <v>2283.5973999999997</v>
      </c>
      <c r="M119" s="345">
        <f t="shared" si="54"/>
        <v>2283.5973999999997</v>
      </c>
      <c r="N119" s="345">
        <f t="shared" si="54"/>
        <v>2283.5973999999997</v>
      </c>
      <c r="O119" s="345">
        <f t="shared" si="54"/>
        <v>2283.5973999999997</v>
      </c>
      <c r="P119" s="345">
        <f t="shared" si="54"/>
        <v>2283.5973999999997</v>
      </c>
      <c r="Q119" s="345">
        <f t="shared" si="54"/>
        <v>2283.5973999999997</v>
      </c>
      <c r="R119" s="345">
        <f t="shared" si="54"/>
        <v>2283.5973999999997</v>
      </c>
      <c r="S119" s="354">
        <v>0</v>
      </c>
      <c r="T119" s="354">
        <v>0</v>
      </c>
      <c r="U119" s="354">
        <v>0</v>
      </c>
      <c r="V119" s="342" t="str">
        <f t="shared" si="39"/>
        <v>2.15</v>
      </c>
      <c r="W119" s="346"/>
      <c r="X119" s="346"/>
    </row>
    <row r="120" spans="1:24" s="347" customFormat="1" ht="82.5" customHeight="1" x14ac:dyDescent="0.3">
      <c r="A120" s="344" t="s">
        <v>722</v>
      </c>
      <c r="B120" s="353" t="str">
        <f t="shared" si="37"/>
        <v>Строительство сетей газоснабжения в п. Верхний Ландех, в районе ул. Строителей, д. 22</v>
      </c>
      <c r="C120" s="354">
        <f t="shared" si="37"/>
        <v>261.084</v>
      </c>
      <c r="D120" s="354">
        <f t="shared" si="37"/>
        <v>261.084</v>
      </c>
      <c r="E120" s="354">
        <f t="shared" si="37"/>
        <v>0</v>
      </c>
      <c r="F120" s="345">
        <f t="shared" si="40"/>
        <v>261.08399999999995</v>
      </c>
      <c r="G120" s="354">
        <v>0</v>
      </c>
      <c r="H120" s="354">
        <v>0</v>
      </c>
      <c r="I120" s="345">
        <f t="shared" si="41"/>
        <v>26.1084</v>
      </c>
      <c r="J120" s="345">
        <f t="shared" ref="J120:R120" si="55">I120</f>
        <v>26.1084</v>
      </c>
      <c r="K120" s="345">
        <f t="shared" si="55"/>
        <v>26.1084</v>
      </c>
      <c r="L120" s="345">
        <f t="shared" si="55"/>
        <v>26.1084</v>
      </c>
      <c r="M120" s="345">
        <f t="shared" si="55"/>
        <v>26.1084</v>
      </c>
      <c r="N120" s="345">
        <f t="shared" si="55"/>
        <v>26.1084</v>
      </c>
      <c r="O120" s="345">
        <f t="shared" si="55"/>
        <v>26.1084</v>
      </c>
      <c r="P120" s="345">
        <f t="shared" si="55"/>
        <v>26.1084</v>
      </c>
      <c r="Q120" s="345">
        <f t="shared" si="55"/>
        <v>26.1084</v>
      </c>
      <c r="R120" s="345">
        <f t="shared" si="55"/>
        <v>26.1084</v>
      </c>
      <c r="S120" s="354">
        <v>0</v>
      </c>
      <c r="T120" s="354">
        <v>0</v>
      </c>
      <c r="U120" s="354">
        <v>0</v>
      </c>
      <c r="V120" s="342" t="str">
        <f t="shared" si="39"/>
        <v>2.16</v>
      </c>
      <c r="W120" s="346"/>
      <c r="X120" s="346"/>
    </row>
    <row r="121" spans="1:24" s="347" customFormat="1" ht="82.5" customHeight="1" x14ac:dyDescent="0.3">
      <c r="A121" s="344" t="s">
        <v>723</v>
      </c>
      <c r="B121" s="353" t="str">
        <f t="shared" si="37"/>
        <v>Строительство ГРПШ пропускной способностью 250 м3/час в п. Верхний Ландех, в районе ул. Строителей, д. 22</v>
      </c>
      <c r="C121" s="354">
        <f t="shared" si="37"/>
        <v>278.892</v>
      </c>
      <c r="D121" s="354">
        <f t="shared" si="37"/>
        <v>278.892</v>
      </c>
      <c r="E121" s="354">
        <f t="shared" si="37"/>
        <v>0</v>
      </c>
      <c r="F121" s="345">
        <f t="shared" si="40"/>
        <v>278.89199999999994</v>
      </c>
      <c r="G121" s="354">
        <v>0</v>
      </c>
      <c r="H121" s="354">
        <v>0</v>
      </c>
      <c r="I121" s="345">
        <f t="shared" si="41"/>
        <v>27.889199999999999</v>
      </c>
      <c r="J121" s="345">
        <f t="shared" ref="J121:R121" si="56">I121</f>
        <v>27.889199999999999</v>
      </c>
      <c r="K121" s="345">
        <f t="shared" si="56"/>
        <v>27.889199999999999</v>
      </c>
      <c r="L121" s="345">
        <f t="shared" si="56"/>
        <v>27.889199999999999</v>
      </c>
      <c r="M121" s="345">
        <f t="shared" si="56"/>
        <v>27.889199999999999</v>
      </c>
      <c r="N121" s="345">
        <f t="shared" si="56"/>
        <v>27.889199999999999</v>
      </c>
      <c r="O121" s="345">
        <f t="shared" si="56"/>
        <v>27.889199999999999</v>
      </c>
      <c r="P121" s="345">
        <f t="shared" si="56"/>
        <v>27.889199999999999</v>
      </c>
      <c r="Q121" s="345">
        <f t="shared" si="56"/>
        <v>27.889199999999999</v>
      </c>
      <c r="R121" s="345">
        <f t="shared" si="56"/>
        <v>27.889199999999999</v>
      </c>
      <c r="S121" s="354">
        <v>0</v>
      </c>
      <c r="T121" s="354">
        <v>0</v>
      </c>
      <c r="U121" s="354">
        <v>0</v>
      </c>
      <c r="V121" s="342" t="str">
        <f t="shared" si="39"/>
        <v>2.17</v>
      </c>
      <c r="W121" s="346"/>
      <c r="X121" s="346"/>
    </row>
    <row r="122" spans="1:24" s="347" customFormat="1" ht="82.5" customHeight="1" x14ac:dyDescent="0.3">
      <c r="A122" s="344" t="s">
        <v>724</v>
      </c>
      <c r="B122" s="353" t="str">
        <f t="shared" si="37"/>
        <v>Строительство сетей водоснабжения в п. Верхний Ландех, в районе ул. Строителей, д. 22</v>
      </c>
      <c r="C122" s="354">
        <f t="shared" si="37"/>
        <v>438.80399999999997</v>
      </c>
      <c r="D122" s="354">
        <f t="shared" si="37"/>
        <v>438.80399999999997</v>
      </c>
      <c r="E122" s="354">
        <f t="shared" si="37"/>
        <v>0</v>
      </c>
      <c r="F122" s="345">
        <f t="shared" si="40"/>
        <v>438.80400000000003</v>
      </c>
      <c r="G122" s="354">
        <v>0</v>
      </c>
      <c r="H122" s="354">
        <v>0</v>
      </c>
      <c r="I122" s="345">
        <f t="shared" si="41"/>
        <v>43.880399999999995</v>
      </c>
      <c r="J122" s="345">
        <f t="shared" ref="J122:R122" si="57">I122</f>
        <v>43.880399999999995</v>
      </c>
      <c r="K122" s="345">
        <f t="shared" si="57"/>
        <v>43.880399999999995</v>
      </c>
      <c r="L122" s="345">
        <f t="shared" si="57"/>
        <v>43.880399999999995</v>
      </c>
      <c r="M122" s="345">
        <f t="shared" si="57"/>
        <v>43.880399999999995</v>
      </c>
      <c r="N122" s="345">
        <f t="shared" si="57"/>
        <v>43.880399999999995</v>
      </c>
      <c r="O122" s="345">
        <f t="shared" si="57"/>
        <v>43.880399999999995</v>
      </c>
      <c r="P122" s="345">
        <f t="shared" si="57"/>
        <v>43.880399999999995</v>
      </c>
      <c r="Q122" s="345">
        <f t="shared" si="57"/>
        <v>43.880399999999995</v>
      </c>
      <c r="R122" s="345">
        <f t="shared" si="57"/>
        <v>43.880399999999995</v>
      </c>
      <c r="S122" s="354">
        <v>0</v>
      </c>
      <c r="T122" s="354">
        <v>0</v>
      </c>
      <c r="U122" s="354">
        <v>0</v>
      </c>
      <c r="V122" s="342" t="str">
        <f t="shared" si="39"/>
        <v>2.18</v>
      </c>
      <c r="W122" s="346"/>
      <c r="X122" s="346"/>
    </row>
    <row r="123" spans="1:24" s="347" customFormat="1" ht="82.5" customHeight="1" x14ac:dyDescent="0.3">
      <c r="A123" s="344" t="s">
        <v>725</v>
      </c>
      <c r="B123" s="353" t="str">
        <f t="shared" si="37"/>
        <v>Строительство сетей водоотведения в п.Верхний Ландех, в районе ул. Строителей, д. 22</v>
      </c>
      <c r="C123" s="354">
        <f t="shared" si="37"/>
        <v>443.54</v>
      </c>
      <c r="D123" s="354">
        <f t="shared" si="37"/>
        <v>443.54</v>
      </c>
      <c r="E123" s="354">
        <f t="shared" si="37"/>
        <v>0</v>
      </c>
      <c r="F123" s="345">
        <f t="shared" si="40"/>
        <v>443.53999999999991</v>
      </c>
      <c r="G123" s="354">
        <v>0</v>
      </c>
      <c r="H123" s="354">
        <v>0</v>
      </c>
      <c r="I123" s="345">
        <f t="shared" si="41"/>
        <v>44.353999999999999</v>
      </c>
      <c r="J123" s="345">
        <f t="shared" ref="J123:R123" si="58">I123</f>
        <v>44.353999999999999</v>
      </c>
      <c r="K123" s="345">
        <f t="shared" si="58"/>
        <v>44.353999999999999</v>
      </c>
      <c r="L123" s="345">
        <f t="shared" si="58"/>
        <v>44.353999999999999</v>
      </c>
      <c r="M123" s="345">
        <f t="shared" si="58"/>
        <v>44.353999999999999</v>
      </c>
      <c r="N123" s="345">
        <f t="shared" si="58"/>
        <v>44.353999999999999</v>
      </c>
      <c r="O123" s="345">
        <f t="shared" si="58"/>
        <v>44.353999999999999</v>
      </c>
      <c r="P123" s="345">
        <f t="shared" si="58"/>
        <v>44.353999999999999</v>
      </c>
      <c r="Q123" s="345">
        <f t="shared" si="58"/>
        <v>44.353999999999999</v>
      </c>
      <c r="R123" s="345">
        <f t="shared" si="58"/>
        <v>44.353999999999999</v>
      </c>
      <c r="S123" s="354">
        <v>0</v>
      </c>
      <c r="T123" s="354">
        <v>0</v>
      </c>
      <c r="U123" s="354">
        <v>0</v>
      </c>
      <c r="V123" s="342" t="str">
        <f t="shared" si="39"/>
        <v>2.19</v>
      </c>
      <c r="W123" s="346"/>
      <c r="X123" s="346"/>
    </row>
    <row r="124" spans="1:24" s="347" customFormat="1" ht="82.5" customHeight="1" x14ac:dyDescent="0.3">
      <c r="A124" s="344" t="s">
        <v>726</v>
      </c>
      <c r="B124" s="353" t="str">
        <f t="shared" si="37"/>
        <v>Строительство электрических сетей в п. Верхний Ландех, в районе ул. Строителей, д. 22</v>
      </c>
      <c r="C124" s="354">
        <f t="shared" si="37"/>
        <v>183.6</v>
      </c>
      <c r="D124" s="354">
        <f t="shared" si="37"/>
        <v>183.6</v>
      </c>
      <c r="E124" s="354">
        <f t="shared" si="37"/>
        <v>0</v>
      </c>
      <c r="F124" s="345">
        <f t="shared" si="40"/>
        <v>183.60000000000002</v>
      </c>
      <c r="G124" s="354">
        <v>0</v>
      </c>
      <c r="H124" s="354">
        <v>0</v>
      </c>
      <c r="I124" s="345">
        <f t="shared" si="41"/>
        <v>18.36</v>
      </c>
      <c r="J124" s="345">
        <f t="shared" ref="J124:R124" si="59">I124</f>
        <v>18.36</v>
      </c>
      <c r="K124" s="345">
        <f t="shared" si="59"/>
        <v>18.36</v>
      </c>
      <c r="L124" s="345">
        <f t="shared" si="59"/>
        <v>18.36</v>
      </c>
      <c r="M124" s="345">
        <f t="shared" si="59"/>
        <v>18.36</v>
      </c>
      <c r="N124" s="345">
        <f t="shared" si="59"/>
        <v>18.36</v>
      </c>
      <c r="O124" s="345">
        <f t="shared" si="59"/>
        <v>18.36</v>
      </c>
      <c r="P124" s="345">
        <f t="shared" si="59"/>
        <v>18.36</v>
      </c>
      <c r="Q124" s="345">
        <f t="shared" si="59"/>
        <v>18.36</v>
      </c>
      <c r="R124" s="345">
        <f t="shared" si="59"/>
        <v>18.36</v>
      </c>
      <c r="S124" s="354">
        <v>0</v>
      </c>
      <c r="T124" s="354">
        <v>0</v>
      </c>
      <c r="U124" s="354">
        <v>0</v>
      </c>
      <c r="V124" s="342" t="str">
        <f t="shared" si="39"/>
        <v>2.20</v>
      </c>
      <c r="W124" s="346"/>
      <c r="X124" s="346"/>
    </row>
    <row r="125" spans="1:24" s="347" customFormat="1" ht="82.5" customHeight="1" x14ac:dyDescent="0.3">
      <c r="A125" s="344" t="s">
        <v>727</v>
      </c>
      <c r="B125" s="353" t="str">
        <f t="shared" si="37"/>
        <v>Строительство тепловых сетей в п. Верхний Ландех, в районе ул. Строителей, д. 22,от БМК до У-10Б, L=50м, Ду150, надземная прокладка</v>
      </c>
      <c r="C125" s="354">
        <f t="shared" si="37"/>
        <v>1285.4100000000001</v>
      </c>
      <c r="D125" s="354">
        <f t="shared" si="37"/>
        <v>0</v>
      </c>
      <c r="E125" s="354">
        <f t="shared" si="37"/>
        <v>1285.4100000000001</v>
      </c>
      <c r="F125" s="345">
        <f t="shared" si="40"/>
        <v>1285.4099999999996</v>
      </c>
      <c r="G125" s="354">
        <v>0</v>
      </c>
      <c r="H125" s="354">
        <v>0</v>
      </c>
      <c r="I125" s="345">
        <f t="shared" si="41"/>
        <v>128.541</v>
      </c>
      <c r="J125" s="345">
        <f t="shared" ref="J125:R125" si="60">I125</f>
        <v>128.541</v>
      </c>
      <c r="K125" s="345">
        <f t="shared" si="60"/>
        <v>128.541</v>
      </c>
      <c r="L125" s="345">
        <f t="shared" si="60"/>
        <v>128.541</v>
      </c>
      <c r="M125" s="345">
        <f t="shared" si="60"/>
        <v>128.541</v>
      </c>
      <c r="N125" s="345">
        <f t="shared" si="60"/>
        <v>128.541</v>
      </c>
      <c r="O125" s="345">
        <f t="shared" si="60"/>
        <v>128.541</v>
      </c>
      <c r="P125" s="345">
        <f t="shared" si="60"/>
        <v>128.541</v>
      </c>
      <c r="Q125" s="345">
        <f t="shared" si="60"/>
        <v>128.541</v>
      </c>
      <c r="R125" s="345">
        <f t="shared" si="60"/>
        <v>128.541</v>
      </c>
      <c r="S125" s="354">
        <v>0</v>
      </c>
      <c r="T125" s="354">
        <v>0</v>
      </c>
      <c r="U125" s="354">
        <v>0</v>
      </c>
      <c r="V125" s="342" t="str">
        <f t="shared" si="39"/>
        <v>2.21</v>
      </c>
      <c r="W125" s="346"/>
      <c r="X125" s="346"/>
    </row>
    <row r="126" spans="1:24" s="347" customFormat="1" ht="107.25" customHeight="1" x14ac:dyDescent="0.3">
      <c r="A126" s="344" t="s">
        <v>728</v>
      </c>
      <c r="B126" s="353" t="str">
        <f t="shared" ref="B126:E145" si="61">B46</f>
        <v>Строительство надземного участка тепловой сети от У-10Б до У-10, D=133мм, L=17м (в 2-х трубном исчислении) в п. Верхний Ландех, в районе ул. Строителей, д. 22</v>
      </c>
      <c r="C126" s="354">
        <f t="shared" si="61"/>
        <v>392.89600000000002</v>
      </c>
      <c r="D126" s="354">
        <f t="shared" si="61"/>
        <v>0</v>
      </c>
      <c r="E126" s="354">
        <f t="shared" si="61"/>
        <v>392.89600000000002</v>
      </c>
      <c r="F126" s="345">
        <f t="shared" si="40"/>
        <v>392.89600000000002</v>
      </c>
      <c r="G126" s="354">
        <v>0</v>
      </c>
      <c r="H126" s="354">
        <v>0</v>
      </c>
      <c r="I126" s="345">
        <f t="shared" si="41"/>
        <v>39.2896</v>
      </c>
      <c r="J126" s="345">
        <f t="shared" ref="J126:R126" si="62">I126</f>
        <v>39.2896</v>
      </c>
      <c r="K126" s="345">
        <f t="shared" si="62"/>
        <v>39.2896</v>
      </c>
      <c r="L126" s="345">
        <f t="shared" si="62"/>
        <v>39.2896</v>
      </c>
      <c r="M126" s="345">
        <f t="shared" si="62"/>
        <v>39.2896</v>
      </c>
      <c r="N126" s="345">
        <f t="shared" si="62"/>
        <v>39.2896</v>
      </c>
      <c r="O126" s="345">
        <f t="shared" si="62"/>
        <v>39.2896</v>
      </c>
      <c r="P126" s="345">
        <f t="shared" si="62"/>
        <v>39.2896</v>
      </c>
      <c r="Q126" s="345">
        <f t="shared" si="62"/>
        <v>39.2896</v>
      </c>
      <c r="R126" s="345">
        <f t="shared" si="62"/>
        <v>39.2896</v>
      </c>
      <c r="S126" s="354">
        <v>0</v>
      </c>
      <c r="T126" s="354">
        <v>0</v>
      </c>
      <c r="U126" s="354">
        <v>0</v>
      </c>
      <c r="V126" s="342" t="str">
        <f t="shared" si="39"/>
        <v>2.22</v>
      </c>
      <c r="W126" s="346"/>
      <c r="X126" s="346"/>
    </row>
    <row r="127" spans="1:24" s="347" customFormat="1" ht="114.75" customHeight="1" x14ac:dyDescent="0.3">
      <c r="A127" s="344" t="s">
        <v>729</v>
      </c>
      <c r="B127" s="353" t="str">
        <f t="shared" si="61"/>
        <v>Строительство надземного участка тепловой сети от У-10Б до У-10А, D=108 мм, L=22м (в 2-х трубном исчислении) в п. Верхний Ландех, в районе ул. Строителей, д. 22</v>
      </c>
      <c r="C127" s="354">
        <f t="shared" si="61"/>
        <v>458.15800000000002</v>
      </c>
      <c r="D127" s="354">
        <f t="shared" si="61"/>
        <v>0</v>
      </c>
      <c r="E127" s="354">
        <f t="shared" si="61"/>
        <v>458.15800000000002</v>
      </c>
      <c r="F127" s="345">
        <f t="shared" si="40"/>
        <v>458.15800000000013</v>
      </c>
      <c r="G127" s="354">
        <v>0</v>
      </c>
      <c r="H127" s="354">
        <v>0</v>
      </c>
      <c r="I127" s="345">
        <f>C127/10</f>
        <v>45.815800000000003</v>
      </c>
      <c r="J127" s="345">
        <f t="shared" ref="J127:R127" si="63">I127</f>
        <v>45.815800000000003</v>
      </c>
      <c r="K127" s="345">
        <f t="shared" si="63"/>
        <v>45.815800000000003</v>
      </c>
      <c r="L127" s="345">
        <f t="shared" si="63"/>
        <v>45.815800000000003</v>
      </c>
      <c r="M127" s="345">
        <f t="shared" si="63"/>
        <v>45.815800000000003</v>
      </c>
      <c r="N127" s="345">
        <f t="shared" si="63"/>
        <v>45.815800000000003</v>
      </c>
      <c r="O127" s="345">
        <f t="shared" si="63"/>
        <v>45.815800000000003</v>
      </c>
      <c r="P127" s="345">
        <f t="shared" si="63"/>
        <v>45.815800000000003</v>
      </c>
      <c r="Q127" s="345">
        <f t="shared" si="63"/>
        <v>45.815800000000003</v>
      </c>
      <c r="R127" s="345">
        <f t="shared" si="63"/>
        <v>45.815800000000003</v>
      </c>
      <c r="S127" s="354">
        <v>0</v>
      </c>
      <c r="T127" s="354">
        <v>0</v>
      </c>
      <c r="U127" s="354">
        <v>0</v>
      </c>
      <c r="V127" s="342" t="str">
        <f t="shared" si="39"/>
        <v>2.23</v>
      </c>
      <c r="W127" s="346"/>
      <c r="X127" s="346"/>
    </row>
    <row r="128" spans="1:24" s="347" customFormat="1" ht="82.5" customHeight="1" x14ac:dyDescent="0.3">
      <c r="A128" s="344" t="s">
        <v>730</v>
      </c>
      <c r="B128" s="353" t="str">
        <f t="shared" si="61"/>
        <v>Строительство сетей газоснабжения в п. Верхний Ландех, в районе пер. Школьный, д. 2</v>
      </c>
      <c r="C128" s="354">
        <f t="shared" si="61"/>
        <v>246.81399999999999</v>
      </c>
      <c r="D128" s="354">
        <f t="shared" si="61"/>
        <v>246.81399999999999</v>
      </c>
      <c r="E128" s="354">
        <f t="shared" si="61"/>
        <v>0</v>
      </c>
      <c r="F128" s="345">
        <f t="shared" si="40"/>
        <v>246.81399999999999</v>
      </c>
      <c r="G128" s="354">
        <v>0</v>
      </c>
      <c r="H128" s="354">
        <v>0</v>
      </c>
      <c r="I128" s="345">
        <f t="shared" si="41"/>
        <v>24.6814</v>
      </c>
      <c r="J128" s="345">
        <f t="shared" ref="J128:R128" si="64">I128</f>
        <v>24.6814</v>
      </c>
      <c r="K128" s="345">
        <f t="shared" si="64"/>
        <v>24.6814</v>
      </c>
      <c r="L128" s="345">
        <f t="shared" si="64"/>
        <v>24.6814</v>
      </c>
      <c r="M128" s="345">
        <f t="shared" si="64"/>
        <v>24.6814</v>
      </c>
      <c r="N128" s="345">
        <f t="shared" si="64"/>
        <v>24.6814</v>
      </c>
      <c r="O128" s="345">
        <f t="shared" si="64"/>
        <v>24.6814</v>
      </c>
      <c r="P128" s="345">
        <f t="shared" si="64"/>
        <v>24.6814</v>
      </c>
      <c r="Q128" s="345">
        <f t="shared" si="64"/>
        <v>24.6814</v>
      </c>
      <c r="R128" s="345">
        <f t="shared" si="64"/>
        <v>24.6814</v>
      </c>
      <c r="S128" s="354">
        <v>0</v>
      </c>
      <c r="T128" s="354">
        <v>0</v>
      </c>
      <c r="U128" s="354">
        <v>0</v>
      </c>
      <c r="V128" s="342" t="str">
        <f t="shared" si="39"/>
        <v>2.25</v>
      </c>
      <c r="W128" s="346"/>
      <c r="X128" s="346"/>
    </row>
    <row r="129" spans="1:24" s="347" customFormat="1" ht="82.5" customHeight="1" x14ac:dyDescent="0.3">
      <c r="A129" s="344" t="s">
        <v>731</v>
      </c>
      <c r="B129" s="353" t="str">
        <f t="shared" si="61"/>
        <v>Строительство ГРПШ пропускной способностью 100 м3/час в п. Верхний Ландех, в районе пер. Школьный, д. 2</v>
      </c>
      <c r="C129" s="354">
        <f t="shared" si="61"/>
        <v>331.10500000000002</v>
      </c>
      <c r="D129" s="354">
        <f t="shared" si="61"/>
        <v>331.10500000000002</v>
      </c>
      <c r="E129" s="354">
        <f t="shared" si="61"/>
        <v>0</v>
      </c>
      <c r="F129" s="345">
        <f t="shared" si="40"/>
        <v>331.10500000000002</v>
      </c>
      <c r="G129" s="354">
        <v>0</v>
      </c>
      <c r="H129" s="354">
        <v>0</v>
      </c>
      <c r="I129" s="345">
        <f t="shared" si="41"/>
        <v>33.110500000000002</v>
      </c>
      <c r="J129" s="345">
        <f t="shared" ref="J129:R129" si="65">I129</f>
        <v>33.110500000000002</v>
      </c>
      <c r="K129" s="345">
        <f t="shared" si="65"/>
        <v>33.110500000000002</v>
      </c>
      <c r="L129" s="345">
        <f t="shared" si="65"/>
        <v>33.110500000000002</v>
      </c>
      <c r="M129" s="345">
        <f t="shared" si="65"/>
        <v>33.110500000000002</v>
      </c>
      <c r="N129" s="345">
        <f t="shared" si="65"/>
        <v>33.110500000000002</v>
      </c>
      <c r="O129" s="345">
        <f t="shared" si="65"/>
        <v>33.110500000000002</v>
      </c>
      <c r="P129" s="345">
        <f t="shared" si="65"/>
        <v>33.110500000000002</v>
      </c>
      <c r="Q129" s="345">
        <f t="shared" si="65"/>
        <v>33.110500000000002</v>
      </c>
      <c r="R129" s="345">
        <f t="shared" si="65"/>
        <v>33.110500000000002</v>
      </c>
      <c r="S129" s="354">
        <v>0</v>
      </c>
      <c r="T129" s="354">
        <v>0</v>
      </c>
      <c r="U129" s="354">
        <v>0</v>
      </c>
      <c r="V129" s="342" t="str">
        <f t="shared" si="39"/>
        <v>2.26</v>
      </c>
      <c r="W129" s="346"/>
      <c r="X129" s="346"/>
    </row>
    <row r="130" spans="1:24" s="347" customFormat="1" ht="82.5" customHeight="1" x14ac:dyDescent="0.3">
      <c r="A130" s="344" t="s">
        <v>732</v>
      </c>
      <c r="B130" s="353" t="str">
        <f t="shared" si="61"/>
        <v>Строительство сетей водоснабжения в п. Верхний Ландех, в районе пер. Школьный, д. 2</v>
      </c>
      <c r="C130" s="354">
        <f t="shared" si="61"/>
        <v>438.80399999999997</v>
      </c>
      <c r="D130" s="354">
        <f t="shared" si="61"/>
        <v>438.80399999999997</v>
      </c>
      <c r="E130" s="354">
        <f t="shared" si="61"/>
        <v>0</v>
      </c>
      <c r="F130" s="345">
        <f t="shared" si="40"/>
        <v>438.80400000000003</v>
      </c>
      <c r="G130" s="354">
        <v>0</v>
      </c>
      <c r="H130" s="354">
        <v>0</v>
      </c>
      <c r="I130" s="345">
        <f>C130/10</f>
        <v>43.880399999999995</v>
      </c>
      <c r="J130" s="345">
        <f t="shared" ref="J130:R130" si="66">I130</f>
        <v>43.880399999999995</v>
      </c>
      <c r="K130" s="345">
        <f t="shared" si="66"/>
        <v>43.880399999999995</v>
      </c>
      <c r="L130" s="345">
        <f t="shared" si="66"/>
        <v>43.880399999999995</v>
      </c>
      <c r="M130" s="345">
        <f t="shared" si="66"/>
        <v>43.880399999999995</v>
      </c>
      <c r="N130" s="345">
        <f t="shared" si="66"/>
        <v>43.880399999999995</v>
      </c>
      <c r="O130" s="345">
        <f t="shared" si="66"/>
        <v>43.880399999999995</v>
      </c>
      <c r="P130" s="345">
        <f t="shared" si="66"/>
        <v>43.880399999999995</v>
      </c>
      <c r="Q130" s="345">
        <f t="shared" si="66"/>
        <v>43.880399999999995</v>
      </c>
      <c r="R130" s="345">
        <f t="shared" si="66"/>
        <v>43.880399999999995</v>
      </c>
      <c r="S130" s="354">
        <v>0</v>
      </c>
      <c r="T130" s="354">
        <v>0</v>
      </c>
      <c r="U130" s="354">
        <v>0</v>
      </c>
      <c r="V130" s="342" t="str">
        <f t="shared" si="39"/>
        <v>2.27</v>
      </c>
      <c r="W130" s="346"/>
      <c r="X130" s="346"/>
    </row>
    <row r="131" spans="1:24" s="347" customFormat="1" ht="82.5" customHeight="1" x14ac:dyDescent="0.3">
      <c r="A131" s="344" t="s">
        <v>733</v>
      </c>
      <c r="B131" s="353" t="str">
        <f t="shared" si="61"/>
        <v>Строительство сетей водоотведения в п. Верхний Ландех, в районе пер. Школьный, д. 2</v>
      </c>
      <c r="C131" s="354">
        <f t="shared" si="61"/>
        <v>443.54</v>
      </c>
      <c r="D131" s="354">
        <f t="shared" si="61"/>
        <v>443.54</v>
      </c>
      <c r="E131" s="354">
        <f t="shared" si="61"/>
        <v>0</v>
      </c>
      <c r="F131" s="345">
        <f t="shared" si="40"/>
        <v>443.53999999999991</v>
      </c>
      <c r="G131" s="354">
        <v>0</v>
      </c>
      <c r="H131" s="354">
        <v>0</v>
      </c>
      <c r="I131" s="345">
        <f t="shared" si="41"/>
        <v>44.353999999999999</v>
      </c>
      <c r="J131" s="345">
        <f t="shared" ref="J131:R131" si="67">I131</f>
        <v>44.353999999999999</v>
      </c>
      <c r="K131" s="345">
        <f t="shared" si="67"/>
        <v>44.353999999999999</v>
      </c>
      <c r="L131" s="345">
        <f t="shared" si="67"/>
        <v>44.353999999999999</v>
      </c>
      <c r="M131" s="345">
        <f t="shared" si="67"/>
        <v>44.353999999999999</v>
      </c>
      <c r="N131" s="345">
        <f t="shared" si="67"/>
        <v>44.353999999999999</v>
      </c>
      <c r="O131" s="345">
        <f t="shared" si="67"/>
        <v>44.353999999999999</v>
      </c>
      <c r="P131" s="345">
        <f t="shared" si="67"/>
        <v>44.353999999999999</v>
      </c>
      <c r="Q131" s="345">
        <f t="shared" si="67"/>
        <v>44.353999999999999</v>
      </c>
      <c r="R131" s="345">
        <f t="shared" si="67"/>
        <v>44.353999999999999</v>
      </c>
      <c r="S131" s="354">
        <v>0</v>
      </c>
      <c r="T131" s="354">
        <v>0</v>
      </c>
      <c r="U131" s="354">
        <v>0</v>
      </c>
      <c r="V131" s="342" t="str">
        <f t="shared" si="39"/>
        <v>2.28</v>
      </c>
      <c r="W131" s="346"/>
      <c r="X131" s="346"/>
    </row>
    <row r="132" spans="1:24" s="347" customFormat="1" ht="82.5" customHeight="1" x14ac:dyDescent="0.3">
      <c r="A132" s="344" t="s">
        <v>734</v>
      </c>
      <c r="B132" s="353" t="str">
        <f t="shared" si="61"/>
        <v>Строительство электрических сетей в п. Верхний Ландех, в районе пер. Школьный, д. 2</v>
      </c>
      <c r="C132" s="354">
        <f t="shared" si="61"/>
        <v>183.601</v>
      </c>
      <c r="D132" s="354">
        <f t="shared" si="61"/>
        <v>183.601</v>
      </c>
      <c r="E132" s="354">
        <f t="shared" si="61"/>
        <v>0</v>
      </c>
      <c r="F132" s="345">
        <f t="shared" si="40"/>
        <v>183.60099999999997</v>
      </c>
      <c r="G132" s="354">
        <v>0</v>
      </c>
      <c r="H132" s="354">
        <v>0</v>
      </c>
      <c r="I132" s="345">
        <f t="shared" si="41"/>
        <v>18.360099999999999</v>
      </c>
      <c r="J132" s="345">
        <f t="shared" ref="J132:R132" si="68">I132</f>
        <v>18.360099999999999</v>
      </c>
      <c r="K132" s="345">
        <f t="shared" si="68"/>
        <v>18.360099999999999</v>
      </c>
      <c r="L132" s="345">
        <f t="shared" si="68"/>
        <v>18.360099999999999</v>
      </c>
      <c r="M132" s="345">
        <f t="shared" si="68"/>
        <v>18.360099999999999</v>
      </c>
      <c r="N132" s="345">
        <f t="shared" si="68"/>
        <v>18.360099999999999</v>
      </c>
      <c r="O132" s="345">
        <f t="shared" si="68"/>
        <v>18.360099999999999</v>
      </c>
      <c r="P132" s="345">
        <f t="shared" si="68"/>
        <v>18.360099999999999</v>
      </c>
      <c r="Q132" s="345">
        <f t="shared" si="68"/>
        <v>18.360099999999999</v>
      </c>
      <c r="R132" s="345">
        <f t="shared" si="68"/>
        <v>18.360099999999999</v>
      </c>
      <c r="S132" s="354">
        <v>0</v>
      </c>
      <c r="T132" s="354">
        <v>0</v>
      </c>
      <c r="U132" s="354">
        <v>0</v>
      </c>
      <c r="V132" s="342" t="str">
        <f t="shared" si="39"/>
        <v>2.29</v>
      </c>
      <c r="W132" s="346"/>
      <c r="X132" s="346"/>
    </row>
    <row r="133" spans="1:24" s="347" customFormat="1" ht="105" customHeight="1" x14ac:dyDescent="0.3">
      <c r="A133" s="344" t="s">
        <v>735</v>
      </c>
      <c r="B133" s="353" t="str">
        <f t="shared" si="61"/>
        <v>Строительство надземного участка тепловых сетей от БМК 0,4 МВт до У-1 D=89 мм, L=45м (в 2-х трубном исчислении) в п. Верхний Ландех в районе пер. Школьный,д. 2</v>
      </c>
      <c r="C133" s="354">
        <f t="shared" si="61"/>
        <v>910.89400000000001</v>
      </c>
      <c r="D133" s="354">
        <f t="shared" si="61"/>
        <v>0</v>
      </c>
      <c r="E133" s="354">
        <f t="shared" si="61"/>
        <v>910.89400000000001</v>
      </c>
      <c r="F133" s="345">
        <f t="shared" si="40"/>
        <v>910.89399999999978</v>
      </c>
      <c r="G133" s="354">
        <v>0</v>
      </c>
      <c r="H133" s="354">
        <v>0</v>
      </c>
      <c r="I133" s="345">
        <f>C133/10</f>
        <v>91.089399999999998</v>
      </c>
      <c r="J133" s="345">
        <f t="shared" ref="J133:S134" si="69">I133</f>
        <v>91.089399999999998</v>
      </c>
      <c r="K133" s="345">
        <f t="shared" si="69"/>
        <v>91.089399999999998</v>
      </c>
      <c r="L133" s="345">
        <f t="shared" si="69"/>
        <v>91.089399999999998</v>
      </c>
      <c r="M133" s="345">
        <f t="shared" si="69"/>
        <v>91.089399999999998</v>
      </c>
      <c r="N133" s="345">
        <f t="shared" si="69"/>
        <v>91.089399999999998</v>
      </c>
      <c r="O133" s="345">
        <f t="shared" si="69"/>
        <v>91.089399999999998</v>
      </c>
      <c r="P133" s="345">
        <f t="shared" si="69"/>
        <v>91.089399999999998</v>
      </c>
      <c r="Q133" s="345">
        <f t="shared" si="69"/>
        <v>91.089399999999998</v>
      </c>
      <c r="R133" s="345">
        <f t="shared" si="69"/>
        <v>91.089399999999998</v>
      </c>
      <c r="S133" s="354">
        <v>0</v>
      </c>
      <c r="T133" s="354">
        <v>0</v>
      </c>
      <c r="U133" s="354">
        <v>0</v>
      </c>
      <c r="V133" s="342" t="str">
        <f t="shared" si="39"/>
        <v>2.30</v>
      </c>
      <c r="W133" s="346"/>
      <c r="X133" s="346"/>
    </row>
    <row r="134" spans="1:24" s="347" customFormat="1" ht="82.5" customHeight="1" x14ac:dyDescent="0.3">
      <c r="A134" s="344" t="s">
        <v>736</v>
      </c>
      <c r="B134" s="353" t="str">
        <f t="shared" si="61"/>
        <v>Реконструкция участка сети от ТК-6 до ул. Рабочая, д. 3, Дн25 мм длиной 5 м (прокладка подземная канальная) котельная № 1 п. Верхний Ландех</v>
      </c>
      <c r="C134" s="354">
        <f t="shared" si="61"/>
        <v>98.135999999999996</v>
      </c>
      <c r="D134" s="354">
        <f t="shared" si="61"/>
        <v>0</v>
      </c>
      <c r="E134" s="354">
        <f t="shared" si="61"/>
        <v>98.135999999999996</v>
      </c>
      <c r="F134" s="345">
        <f t="shared" si="40"/>
        <v>98.135999999999981</v>
      </c>
      <c r="G134" s="354">
        <v>0</v>
      </c>
      <c r="H134" s="354">
        <v>0</v>
      </c>
      <c r="I134" s="354">
        <v>0</v>
      </c>
      <c r="J134" s="345">
        <f>C134/10</f>
        <v>9.8135999999999992</v>
      </c>
      <c r="K134" s="345">
        <f t="shared" si="69"/>
        <v>9.8135999999999992</v>
      </c>
      <c r="L134" s="345">
        <f t="shared" si="69"/>
        <v>9.8135999999999992</v>
      </c>
      <c r="M134" s="345">
        <f t="shared" si="69"/>
        <v>9.8135999999999992</v>
      </c>
      <c r="N134" s="345">
        <f t="shared" si="69"/>
        <v>9.8135999999999992</v>
      </c>
      <c r="O134" s="345">
        <f t="shared" si="69"/>
        <v>9.8135999999999992</v>
      </c>
      <c r="P134" s="345">
        <f t="shared" si="69"/>
        <v>9.8135999999999992</v>
      </c>
      <c r="Q134" s="345">
        <f t="shared" si="69"/>
        <v>9.8135999999999992</v>
      </c>
      <c r="R134" s="345">
        <f t="shared" si="69"/>
        <v>9.8135999999999992</v>
      </c>
      <c r="S134" s="345">
        <f t="shared" si="69"/>
        <v>9.8135999999999992</v>
      </c>
      <c r="T134" s="354">
        <v>0</v>
      </c>
      <c r="U134" s="354">
        <v>0</v>
      </c>
      <c r="V134" s="342" t="str">
        <f t="shared" si="39"/>
        <v>3.1.1</v>
      </c>
      <c r="W134" s="346"/>
      <c r="X134" s="346"/>
    </row>
    <row r="135" spans="1:24" s="347" customFormat="1" ht="82.5" customHeight="1" x14ac:dyDescent="0.3">
      <c r="A135" s="344" t="s">
        <v>737</v>
      </c>
      <c r="B135" s="353" t="str">
        <f t="shared" si="61"/>
        <v>Реконструкция участка сети от ТК-8 до ул. Рабочая, д. 9, Дн25 мм длиной 18,1 м (прокладка подземная канальная) котельная № 1 п.Верхний Ландех</v>
      </c>
      <c r="C135" s="354">
        <f t="shared" si="61"/>
        <v>182.21199999999999</v>
      </c>
      <c r="D135" s="354">
        <f t="shared" si="61"/>
        <v>0</v>
      </c>
      <c r="E135" s="354">
        <f t="shared" si="61"/>
        <v>182.21199999999999</v>
      </c>
      <c r="F135" s="345">
        <f t="shared" si="40"/>
        <v>182.21200000000002</v>
      </c>
      <c r="G135" s="354">
        <v>0</v>
      </c>
      <c r="H135" s="354">
        <v>0</v>
      </c>
      <c r="I135" s="354">
        <v>0</v>
      </c>
      <c r="J135" s="345">
        <f t="shared" ref="J135:J142" si="70">C135/10</f>
        <v>18.2212</v>
      </c>
      <c r="K135" s="345">
        <f t="shared" ref="K135:S135" si="71">J135</f>
        <v>18.2212</v>
      </c>
      <c r="L135" s="345">
        <f t="shared" si="71"/>
        <v>18.2212</v>
      </c>
      <c r="M135" s="345">
        <f t="shared" si="71"/>
        <v>18.2212</v>
      </c>
      <c r="N135" s="345">
        <f t="shared" si="71"/>
        <v>18.2212</v>
      </c>
      <c r="O135" s="345">
        <f t="shared" si="71"/>
        <v>18.2212</v>
      </c>
      <c r="P135" s="345">
        <f t="shared" si="71"/>
        <v>18.2212</v>
      </c>
      <c r="Q135" s="345">
        <f t="shared" si="71"/>
        <v>18.2212</v>
      </c>
      <c r="R135" s="345">
        <f t="shared" si="71"/>
        <v>18.2212</v>
      </c>
      <c r="S135" s="345">
        <f t="shared" si="71"/>
        <v>18.2212</v>
      </c>
      <c r="T135" s="354">
        <v>0</v>
      </c>
      <c r="U135" s="354">
        <v>0</v>
      </c>
      <c r="V135" s="342" t="str">
        <f t="shared" si="39"/>
        <v>3.1.2</v>
      </c>
      <c r="W135" s="346"/>
      <c r="X135" s="346"/>
    </row>
    <row r="136" spans="1:24" s="347" customFormat="1" ht="82.5" customHeight="1" x14ac:dyDescent="0.3">
      <c r="A136" s="344" t="s">
        <v>738</v>
      </c>
      <c r="B136" s="353" t="str">
        <f t="shared" si="61"/>
        <v>Реконструкция участка сети от ТК-7 до ТК-8, Дн32 мм длиной 21,4 м (надземная прокладка) котельная № 1 п. Верхний Ландех</v>
      </c>
      <c r="C136" s="354">
        <f t="shared" si="61"/>
        <v>210.73</v>
      </c>
      <c r="D136" s="354">
        <f t="shared" si="61"/>
        <v>0</v>
      </c>
      <c r="E136" s="354">
        <f t="shared" si="61"/>
        <v>210.73</v>
      </c>
      <c r="F136" s="345">
        <f t="shared" si="40"/>
        <v>210.73000000000005</v>
      </c>
      <c r="G136" s="354">
        <v>0</v>
      </c>
      <c r="H136" s="354">
        <v>0</v>
      </c>
      <c r="I136" s="354">
        <v>0</v>
      </c>
      <c r="J136" s="345">
        <f t="shared" si="70"/>
        <v>21.073</v>
      </c>
      <c r="K136" s="345">
        <f t="shared" ref="K136:S136" si="72">J136</f>
        <v>21.073</v>
      </c>
      <c r="L136" s="345">
        <f t="shared" si="72"/>
        <v>21.073</v>
      </c>
      <c r="M136" s="345">
        <f t="shared" si="72"/>
        <v>21.073</v>
      </c>
      <c r="N136" s="345">
        <f t="shared" si="72"/>
        <v>21.073</v>
      </c>
      <c r="O136" s="345">
        <f t="shared" si="72"/>
        <v>21.073</v>
      </c>
      <c r="P136" s="345">
        <f t="shared" si="72"/>
        <v>21.073</v>
      </c>
      <c r="Q136" s="345">
        <f t="shared" si="72"/>
        <v>21.073</v>
      </c>
      <c r="R136" s="345">
        <f t="shared" si="72"/>
        <v>21.073</v>
      </c>
      <c r="S136" s="345">
        <f t="shared" si="72"/>
        <v>21.073</v>
      </c>
      <c r="T136" s="354">
        <v>0</v>
      </c>
      <c r="U136" s="354">
        <v>0</v>
      </c>
      <c r="V136" s="342" t="str">
        <f t="shared" si="39"/>
        <v>3.1.3</v>
      </c>
      <c r="W136" s="346"/>
      <c r="X136" s="346"/>
    </row>
    <row r="137" spans="1:24" s="347" customFormat="1" ht="82.5" customHeight="1" x14ac:dyDescent="0.3">
      <c r="A137" s="344" t="s">
        <v>739</v>
      </c>
      <c r="B137" s="353" t="str">
        <f t="shared" si="61"/>
        <v>Реконструкция участка сети от ТК-5 до ул. Комсомольская, д. 6, Дн38 мм длиной 63,7 м (прокладка подземная канальная) котельная № 1 п. Верхний Ландех</v>
      </c>
      <c r="C137" s="354">
        <f t="shared" si="61"/>
        <v>570.37099999999998</v>
      </c>
      <c r="D137" s="354">
        <f t="shared" si="61"/>
        <v>0</v>
      </c>
      <c r="E137" s="354">
        <f t="shared" si="61"/>
        <v>570.37099999999998</v>
      </c>
      <c r="F137" s="345">
        <f t="shared" si="40"/>
        <v>570.37099999999998</v>
      </c>
      <c r="G137" s="354">
        <v>0</v>
      </c>
      <c r="H137" s="354">
        <v>0</v>
      </c>
      <c r="I137" s="354">
        <v>0</v>
      </c>
      <c r="J137" s="345">
        <f t="shared" si="70"/>
        <v>57.037099999999995</v>
      </c>
      <c r="K137" s="345">
        <f t="shared" ref="K137:S137" si="73">J137</f>
        <v>57.037099999999995</v>
      </c>
      <c r="L137" s="345">
        <f t="shared" si="73"/>
        <v>57.037099999999995</v>
      </c>
      <c r="M137" s="345">
        <f t="shared" si="73"/>
        <v>57.037099999999995</v>
      </c>
      <c r="N137" s="345">
        <f t="shared" si="73"/>
        <v>57.037099999999995</v>
      </c>
      <c r="O137" s="345">
        <f t="shared" si="73"/>
        <v>57.037099999999995</v>
      </c>
      <c r="P137" s="345">
        <f t="shared" si="73"/>
        <v>57.037099999999995</v>
      </c>
      <c r="Q137" s="345">
        <f t="shared" si="73"/>
        <v>57.037099999999995</v>
      </c>
      <c r="R137" s="345">
        <f t="shared" si="73"/>
        <v>57.037099999999995</v>
      </c>
      <c r="S137" s="345">
        <f t="shared" si="73"/>
        <v>57.037099999999995</v>
      </c>
      <c r="T137" s="354">
        <v>0</v>
      </c>
      <c r="U137" s="354">
        <v>0</v>
      </c>
      <c r="V137" s="342" t="str">
        <f t="shared" si="39"/>
        <v>3.1.4</v>
      </c>
      <c r="W137" s="346"/>
      <c r="X137" s="346"/>
    </row>
    <row r="138" spans="1:24" s="347" customFormat="1" ht="82.5" customHeight="1" x14ac:dyDescent="0.3">
      <c r="A138" s="344" t="s">
        <v>740</v>
      </c>
      <c r="B138" s="353" t="str">
        <f t="shared" si="61"/>
        <v>Реконструкция участка сети от У-30 до У-31, Дн45 мм длиной 6,2 м (надземная прокладка) котельная № 1 п. Верхний Ландех</v>
      </c>
      <c r="C138" s="354">
        <f t="shared" si="61"/>
        <v>64.433000000000007</v>
      </c>
      <c r="D138" s="354">
        <f t="shared" si="61"/>
        <v>0</v>
      </c>
      <c r="E138" s="354">
        <f t="shared" si="61"/>
        <v>64.433000000000007</v>
      </c>
      <c r="F138" s="345">
        <f t="shared" si="40"/>
        <v>64.433000000000007</v>
      </c>
      <c r="G138" s="354">
        <v>0</v>
      </c>
      <c r="H138" s="354">
        <v>0</v>
      </c>
      <c r="I138" s="354">
        <v>0</v>
      </c>
      <c r="J138" s="345">
        <f t="shared" si="70"/>
        <v>6.4433000000000007</v>
      </c>
      <c r="K138" s="345">
        <f t="shared" ref="K138:S138" si="74">J138</f>
        <v>6.4433000000000007</v>
      </c>
      <c r="L138" s="345">
        <f t="shared" si="74"/>
        <v>6.4433000000000007</v>
      </c>
      <c r="M138" s="345">
        <f t="shared" si="74"/>
        <v>6.4433000000000007</v>
      </c>
      <c r="N138" s="345">
        <f t="shared" si="74"/>
        <v>6.4433000000000007</v>
      </c>
      <c r="O138" s="345">
        <f t="shared" si="74"/>
        <v>6.4433000000000007</v>
      </c>
      <c r="P138" s="345">
        <f t="shared" si="74"/>
        <v>6.4433000000000007</v>
      </c>
      <c r="Q138" s="345">
        <f t="shared" si="74"/>
        <v>6.4433000000000007</v>
      </c>
      <c r="R138" s="345">
        <f t="shared" si="74"/>
        <v>6.4433000000000007</v>
      </c>
      <c r="S138" s="345">
        <f t="shared" si="74"/>
        <v>6.4433000000000007</v>
      </c>
      <c r="T138" s="354">
        <v>0</v>
      </c>
      <c r="U138" s="354">
        <v>0</v>
      </c>
      <c r="V138" s="342" t="str">
        <f t="shared" ref="V138:V162" si="75">V58</f>
        <v>3.1.5</v>
      </c>
      <c r="W138" s="346"/>
      <c r="X138" s="346"/>
    </row>
    <row r="139" spans="1:24" s="347" customFormat="1" ht="82.5" customHeight="1" x14ac:dyDescent="0.3">
      <c r="A139" s="344" t="s">
        <v>741</v>
      </c>
      <c r="B139" s="353" t="str">
        <f t="shared" si="61"/>
        <v>Реконструкция участка сети от У-31 до У-31А, Дн45 мм длиной 38 м (надземная прокладка) котельная № 1 п. Верхний Ландех</v>
      </c>
      <c r="C139" s="354">
        <f t="shared" si="61"/>
        <v>446.64100000000002</v>
      </c>
      <c r="D139" s="354">
        <f t="shared" si="61"/>
        <v>0</v>
      </c>
      <c r="E139" s="354">
        <f t="shared" si="61"/>
        <v>446.64100000000002</v>
      </c>
      <c r="F139" s="345">
        <f t="shared" si="40"/>
        <v>446.64100000000013</v>
      </c>
      <c r="G139" s="354">
        <v>0</v>
      </c>
      <c r="H139" s="354">
        <v>0</v>
      </c>
      <c r="I139" s="354">
        <v>0</v>
      </c>
      <c r="J139" s="345">
        <f t="shared" si="70"/>
        <v>44.664100000000005</v>
      </c>
      <c r="K139" s="345">
        <f t="shared" ref="K139:S139" si="76">J139</f>
        <v>44.664100000000005</v>
      </c>
      <c r="L139" s="345">
        <f t="shared" si="76"/>
        <v>44.664100000000005</v>
      </c>
      <c r="M139" s="345">
        <f t="shared" si="76"/>
        <v>44.664100000000005</v>
      </c>
      <c r="N139" s="345">
        <f t="shared" si="76"/>
        <v>44.664100000000005</v>
      </c>
      <c r="O139" s="345">
        <f t="shared" si="76"/>
        <v>44.664100000000005</v>
      </c>
      <c r="P139" s="345">
        <f t="shared" si="76"/>
        <v>44.664100000000005</v>
      </c>
      <c r="Q139" s="345">
        <f t="shared" si="76"/>
        <v>44.664100000000005</v>
      </c>
      <c r="R139" s="345">
        <f t="shared" si="76"/>
        <v>44.664100000000005</v>
      </c>
      <c r="S139" s="345">
        <f t="shared" si="76"/>
        <v>44.664100000000005</v>
      </c>
      <c r="T139" s="354">
        <v>0</v>
      </c>
      <c r="U139" s="354">
        <v>0</v>
      </c>
      <c r="V139" s="342" t="str">
        <f t="shared" si="75"/>
        <v>3.1.6</v>
      </c>
      <c r="W139" s="346"/>
      <c r="X139" s="346"/>
    </row>
    <row r="140" spans="1:24" s="347" customFormat="1" ht="99.75" customHeight="1" x14ac:dyDescent="0.3">
      <c r="A140" s="344" t="s">
        <v>742</v>
      </c>
      <c r="B140" s="353" t="str">
        <f t="shared" si="61"/>
        <v>Реконструкция участка сети от У-31А до ТК-6, Дн45 мм длиной 71 м (прокладка подземная канальная) котельная № 1 п. Верхний Ландех</v>
      </c>
      <c r="C140" s="354">
        <f t="shared" si="61"/>
        <v>732.827</v>
      </c>
      <c r="D140" s="354">
        <f t="shared" si="61"/>
        <v>0</v>
      </c>
      <c r="E140" s="354">
        <f t="shared" si="61"/>
        <v>732.827</v>
      </c>
      <c r="F140" s="345">
        <f t="shared" si="40"/>
        <v>732.82699999999988</v>
      </c>
      <c r="G140" s="354">
        <v>0</v>
      </c>
      <c r="H140" s="354">
        <v>0</v>
      </c>
      <c r="I140" s="354">
        <v>0</v>
      </c>
      <c r="J140" s="345">
        <f t="shared" si="70"/>
        <v>73.282700000000006</v>
      </c>
      <c r="K140" s="345">
        <f t="shared" ref="K140:S140" si="77">J140</f>
        <v>73.282700000000006</v>
      </c>
      <c r="L140" s="345">
        <f t="shared" si="77"/>
        <v>73.282700000000006</v>
      </c>
      <c r="M140" s="345">
        <f t="shared" si="77"/>
        <v>73.282700000000006</v>
      </c>
      <c r="N140" s="345">
        <f t="shared" si="77"/>
        <v>73.282700000000006</v>
      </c>
      <c r="O140" s="345">
        <f t="shared" si="77"/>
        <v>73.282700000000006</v>
      </c>
      <c r="P140" s="345">
        <f t="shared" si="77"/>
        <v>73.282700000000006</v>
      </c>
      <c r="Q140" s="345">
        <f t="shared" si="77"/>
        <v>73.282700000000006</v>
      </c>
      <c r="R140" s="345">
        <f t="shared" si="77"/>
        <v>73.282700000000006</v>
      </c>
      <c r="S140" s="345">
        <f t="shared" si="77"/>
        <v>73.282700000000006</v>
      </c>
      <c r="T140" s="354">
        <v>0</v>
      </c>
      <c r="U140" s="354">
        <v>0</v>
      </c>
      <c r="V140" s="342" t="str">
        <f t="shared" si="75"/>
        <v>3.1.7</v>
      </c>
      <c r="W140" s="346"/>
      <c r="X140" s="346"/>
    </row>
    <row r="141" spans="1:24" s="347" customFormat="1" ht="99.75" customHeight="1" x14ac:dyDescent="0.3">
      <c r="A141" s="344" t="s">
        <v>743</v>
      </c>
      <c r="B141" s="353" t="str">
        <f t="shared" si="61"/>
        <v>Реконструкция участка сети от ТК-6 до У-32, Дн45 мм длиной 7,3 м (прокладка подземная канальная) котельная № 1 п. Верхний Ландех</v>
      </c>
      <c r="C141" s="354">
        <f t="shared" si="61"/>
        <v>94.296999999999997</v>
      </c>
      <c r="D141" s="354">
        <f t="shared" si="61"/>
        <v>0</v>
      </c>
      <c r="E141" s="354">
        <f t="shared" si="61"/>
        <v>94.296999999999997</v>
      </c>
      <c r="F141" s="345">
        <f t="shared" si="40"/>
        <v>94.296999999999983</v>
      </c>
      <c r="G141" s="354">
        <v>0</v>
      </c>
      <c r="H141" s="354">
        <v>0</v>
      </c>
      <c r="I141" s="354">
        <v>0</v>
      </c>
      <c r="J141" s="345">
        <f t="shared" si="70"/>
        <v>9.4297000000000004</v>
      </c>
      <c r="K141" s="345">
        <f t="shared" ref="K141:S141" si="78">J141</f>
        <v>9.4297000000000004</v>
      </c>
      <c r="L141" s="345">
        <f t="shared" si="78"/>
        <v>9.4297000000000004</v>
      </c>
      <c r="M141" s="345">
        <f t="shared" si="78"/>
        <v>9.4297000000000004</v>
      </c>
      <c r="N141" s="345">
        <f t="shared" si="78"/>
        <v>9.4297000000000004</v>
      </c>
      <c r="O141" s="345">
        <f t="shared" si="78"/>
        <v>9.4297000000000004</v>
      </c>
      <c r="P141" s="345">
        <f t="shared" si="78"/>
        <v>9.4297000000000004</v>
      </c>
      <c r="Q141" s="345">
        <f t="shared" si="78"/>
        <v>9.4297000000000004</v>
      </c>
      <c r="R141" s="345">
        <f t="shared" si="78"/>
        <v>9.4297000000000004</v>
      </c>
      <c r="S141" s="345">
        <f t="shared" si="78"/>
        <v>9.4297000000000004</v>
      </c>
      <c r="T141" s="354">
        <v>0</v>
      </c>
      <c r="U141" s="354">
        <v>0</v>
      </c>
      <c r="V141" s="342" t="str">
        <f t="shared" si="75"/>
        <v>3.1.8</v>
      </c>
      <c r="W141" s="346"/>
      <c r="X141" s="346"/>
    </row>
    <row r="142" spans="1:24" s="347" customFormat="1" ht="99.75" customHeight="1" x14ac:dyDescent="0.3">
      <c r="A142" s="344" t="s">
        <v>744</v>
      </c>
      <c r="B142" s="353" t="str">
        <f t="shared" si="61"/>
        <v>Реконструкция участка сети от У-34 до ТК-7, Дн45 мм длиной 9,5 м (прокладка подземная канальная с выносом на поверхность) котельная № 1 п. Верхний Ландех</v>
      </c>
      <c r="C142" s="354">
        <f t="shared" si="61"/>
        <v>185.27199999999999</v>
      </c>
      <c r="D142" s="354">
        <f t="shared" si="61"/>
        <v>0</v>
      </c>
      <c r="E142" s="354">
        <f t="shared" si="61"/>
        <v>185.27199999999999</v>
      </c>
      <c r="F142" s="345">
        <f t="shared" si="40"/>
        <v>185.27199999999996</v>
      </c>
      <c r="G142" s="354">
        <v>0</v>
      </c>
      <c r="H142" s="354">
        <v>0</v>
      </c>
      <c r="I142" s="354">
        <v>0</v>
      </c>
      <c r="J142" s="345">
        <f t="shared" si="70"/>
        <v>18.527200000000001</v>
      </c>
      <c r="K142" s="345">
        <f t="shared" ref="K142:S142" si="79">J142</f>
        <v>18.527200000000001</v>
      </c>
      <c r="L142" s="345">
        <f t="shared" si="79"/>
        <v>18.527200000000001</v>
      </c>
      <c r="M142" s="345">
        <f t="shared" si="79"/>
        <v>18.527200000000001</v>
      </c>
      <c r="N142" s="345">
        <f t="shared" si="79"/>
        <v>18.527200000000001</v>
      </c>
      <c r="O142" s="345">
        <f t="shared" si="79"/>
        <v>18.527200000000001</v>
      </c>
      <c r="P142" s="345">
        <f t="shared" si="79"/>
        <v>18.527200000000001</v>
      </c>
      <c r="Q142" s="345">
        <f t="shared" si="79"/>
        <v>18.527200000000001</v>
      </c>
      <c r="R142" s="345">
        <f t="shared" si="79"/>
        <v>18.527200000000001</v>
      </c>
      <c r="S142" s="345">
        <f t="shared" si="79"/>
        <v>18.527200000000001</v>
      </c>
      <c r="T142" s="354">
        <v>0</v>
      </c>
      <c r="U142" s="354">
        <v>0</v>
      </c>
      <c r="V142" s="342" t="str">
        <f t="shared" si="75"/>
        <v>3.1.9</v>
      </c>
      <c r="W142" s="346"/>
      <c r="X142" s="346"/>
    </row>
    <row r="143" spans="1:24" s="347" customFormat="1" ht="99.75" customHeight="1" x14ac:dyDescent="0.3">
      <c r="A143" s="344" t="s">
        <v>745</v>
      </c>
      <c r="B143" s="353" t="str">
        <f t="shared" si="61"/>
        <v>Реконструкция тепловых сетей в п. Верхний Ландех, ул. Новая, 1А , от У-29 до ТК-5, L=13м, Дн76мм, надземная прокладка</v>
      </c>
      <c r="C143" s="354">
        <f t="shared" si="61"/>
        <v>275.25</v>
      </c>
      <c r="D143" s="354">
        <f t="shared" si="61"/>
        <v>0</v>
      </c>
      <c r="E143" s="354">
        <f t="shared" si="61"/>
        <v>275.25</v>
      </c>
      <c r="F143" s="345">
        <f t="shared" si="40"/>
        <v>275.25</v>
      </c>
      <c r="G143" s="354">
        <v>0</v>
      </c>
      <c r="H143" s="354">
        <v>0</v>
      </c>
      <c r="I143" s="354">
        <v>0</v>
      </c>
      <c r="J143" s="345">
        <f>C143/10</f>
        <v>27.524999999999999</v>
      </c>
      <c r="K143" s="345">
        <f t="shared" ref="K143:S143" si="80">J143</f>
        <v>27.524999999999999</v>
      </c>
      <c r="L143" s="345">
        <f t="shared" si="80"/>
        <v>27.524999999999999</v>
      </c>
      <c r="M143" s="345">
        <f t="shared" si="80"/>
        <v>27.524999999999999</v>
      </c>
      <c r="N143" s="345">
        <f t="shared" si="80"/>
        <v>27.524999999999999</v>
      </c>
      <c r="O143" s="345">
        <f t="shared" si="80"/>
        <v>27.524999999999999</v>
      </c>
      <c r="P143" s="345">
        <f t="shared" si="80"/>
        <v>27.524999999999999</v>
      </c>
      <c r="Q143" s="345">
        <f t="shared" si="80"/>
        <v>27.524999999999999</v>
      </c>
      <c r="R143" s="345">
        <f t="shared" si="80"/>
        <v>27.524999999999999</v>
      </c>
      <c r="S143" s="345">
        <f t="shared" si="80"/>
        <v>27.524999999999999</v>
      </c>
      <c r="T143" s="354">
        <v>0</v>
      </c>
      <c r="U143" s="354">
        <v>0</v>
      </c>
      <c r="V143" s="342" t="str">
        <f t="shared" si="75"/>
        <v>3.1.10</v>
      </c>
      <c r="W143" s="346"/>
      <c r="X143" s="346"/>
    </row>
    <row r="144" spans="1:24" s="347" customFormat="1" ht="99.75" customHeight="1" x14ac:dyDescent="0.3">
      <c r="A144" s="344" t="s">
        <v>746</v>
      </c>
      <c r="B144" s="353" t="str">
        <f t="shared" si="61"/>
        <v>Реконструкция тепловых сетей в п.Верхний Ландех, ул. Новая, 1А , от У-14 до ул.Восточная, д. 1А (д/с), L=15м, Дн76мм, надземная прокладка</v>
      </c>
      <c r="C144" s="354">
        <f t="shared" si="61"/>
        <v>317.59500000000003</v>
      </c>
      <c r="D144" s="354">
        <f t="shared" si="61"/>
        <v>0</v>
      </c>
      <c r="E144" s="354">
        <f t="shared" si="61"/>
        <v>317.59500000000003</v>
      </c>
      <c r="F144" s="345">
        <f t="shared" si="40"/>
        <v>317.59500000000003</v>
      </c>
      <c r="G144" s="354">
        <v>0</v>
      </c>
      <c r="H144" s="354">
        <v>0</v>
      </c>
      <c r="I144" s="354">
        <v>0</v>
      </c>
      <c r="J144" s="345">
        <f t="shared" ref="J144:J147" si="81">C144/10</f>
        <v>31.759500000000003</v>
      </c>
      <c r="K144" s="345">
        <f t="shared" ref="K144:S144" si="82">J144</f>
        <v>31.759500000000003</v>
      </c>
      <c r="L144" s="345">
        <f t="shared" si="82"/>
        <v>31.759500000000003</v>
      </c>
      <c r="M144" s="345">
        <f t="shared" si="82"/>
        <v>31.759500000000003</v>
      </c>
      <c r="N144" s="345">
        <f t="shared" si="82"/>
        <v>31.759500000000003</v>
      </c>
      <c r="O144" s="345">
        <f t="shared" si="82"/>
        <v>31.759500000000003</v>
      </c>
      <c r="P144" s="345">
        <f t="shared" si="82"/>
        <v>31.759500000000003</v>
      </c>
      <c r="Q144" s="345">
        <f t="shared" si="82"/>
        <v>31.759500000000003</v>
      </c>
      <c r="R144" s="345">
        <f t="shared" si="82"/>
        <v>31.759500000000003</v>
      </c>
      <c r="S144" s="345">
        <f t="shared" si="82"/>
        <v>31.759500000000003</v>
      </c>
      <c r="T144" s="354">
        <v>0</v>
      </c>
      <c r="U144" s="354">
        <v>0</v>
      </c>
      <c r="V144" s="342" t="str">
        <f t="shared" si="75"/>
        <v>3.1.11</v>
      </c>
      <c r="W144" s="346"/>
      <c r="X144" s="346"/>
    </row>
    <row r="145" spans="1:24" s="347" customFormat="1" ht="99.75" customHeight="1" x14ac:dyDescent="0.3">
      <c r="A145" s="344" t="s">
        <v>747</v>
      </c>
      <c r="B145" s="353" t="str">
        <f t="shared" si="61"/>
        <v>Реконструкция тепловых сетей в п. Верхний Ландех, ул. Новая, 1А , от У-28 до ул. Комсомольская, д.16, L=18м, Ду80мм, канальная прокладка</v>
      </c>
      <c r="C145" s="354">
        <f t="shared" si="61"/>
        <v>496.29700000000003</v>
      </c>
      <c r="D145" s="354">
        <f t="shared" si="61"/>
        <v>0</v>
      </c>
      <c r="E145" s="354">
        <f t="shared" si="61"/>
        <v>496.29700000000003</v>
      </c>
      <c r="F145" s="345">
        <f t="shared" si="40"/>
        <v>496.29700000000008</v>
      </c>
      <c r="G145" s="354">
        <v>0</v>
      </c>
      <c r="H145" s="354">
        <v>0</v>
      </c>
      <c r="I145" s="354">
        <v>0</v>
      </c>
      <c r="J145" s="345">
        <f t="shared" si="81"/>
        <v>49.6297</v>
      </c>
      <c r="K145" s="345">
        <f t="shared" ref="K145:S145" si="83">J145</f>
        <v>49.6297</v>
      </c>
      <c r="L145" s="345">
        <f t="shared" si="83"/>
        <v>49.6297</v>
      </c>
      <c r="M145" s="345">
        <f t="shared" si="83"/>
        <v>49.6297</v>
      </c>
      <c r="N145" s="345">
        <f t="shared" si="83"/>
        <v>49.6297</v>
      </c>
      <c r="O145" s="345">
        <f t="shared" si="83"/>
        <v>49.6297</v>
      </c>
      <c r="P145" s="345">
        <f t="shared" si="83"/>
        <v>49.6297</v>
      </c>
      <c r="Q145" s="345">
        <f t="shared" si="83"/>
        <v>49.6297</v>
      </c>
      <c r="R145" s="345">
        <f t="shared" si="83"/>
        <v>49.6297</v>
      </c>
      <c r="S145" s="345">
        <f t="shared" si="83"/>
        <v>49.6297</v>
      </c>
      <c r="T145" s="354">
        <v>0</v>
      </c>
      <c r="U145" s="354">
        <v>0</v>
      </c>
      <c r="V145" s="342" t="str">
        <f t="shared" si="75"/>
        <v>3.1.12</v>
      </c>
      <c r="W145" s="346"/>
      <c r="X145" s="346"/>
    </row>
    <row r="146" spans="1:24" s="347" customFormat="1" ht="99.75" customHeight="1" x14ac:dyDescent="0.3">
      <c r="A146" s="344" t="s">
        <v>748</v>
      </c>
      <c r="B146" s="353" t="str">
        <f t="shared" ref="B146:E165" si="84">B66</f>
        <v>Реконструкция тепловых сетей (подземной прокладки с выносом на поверхность) в п. Верхний Ландех, ул. Новая, 1А , от У-28 до У-29, L=65,5м, Дн76мм, надземная прокладка</v>
      </c>
      <c r="C146" s="354">
        <f t="shared" si="84"/>
        <v>1386.8520000000001</v>
      </c>
      <c r="D146" s="354">
        <f t="shared" si="84"/>
        <v>0</v>
      </c>
      <c r="E146" s="354">
        <f t="shared" si="84"/>
        <v>1386.8520000000001</v>
      </c>
      <c r="F146" s="345">
        <f t="shared" si="40"/>
        <v>1386.8519999999999</v>
      </c>
      <c r="G146" s="354">
        <v>0</v>
      </c>
      <c r="H146" s="354">
        <v>0</v>
      </c>
      <c r="I146" s="354">
        <v>0</v>
      </c>
      <c r="J146" s="345">
        <f t="shared" si="81"/>
        <v>138.68520000000001</v>
      </c>
      <c r="K146" s="345">
        <f t="shared" ref="K146:S146" si="85">J146</f>
        <v>138.68520000000001</v>
      </c>
      <c r="L146" s="345">
        <f t="shared" si="85"/>
        <v>138.68520000000001</v>
      </c>
      <c r="M146" s="345">
        <f t="shared" si="85"/>
        <v>138.68520000000001</v>
      </c>
      <c r="N146" s="345">
        <f t="shared" si="85"/>
        <v>138.68520000000001</v>
      </c>
      <c r="O146" s="345">
        <f t="shared" si="85"/>
        <v>138.68520000000001</v>
      </c>
      <c r="P146" s="345">
        <f t="shared" si="85"/>
        <v>138.68520000000001</v>
      </c>
      <c r="Q146" s="345">
        <f t="shared" si="85"/>
        <v>138.68520000000001</v>
      </c>
      <c r="R146" s="345">
        <f t="shared" si="85"/>
        <v>138.68520000000001</v>
      </c>
      <c r="S146" s="345">
        <f t="shared" si="85"/>
        <v>138.68520000000001</v>
      </c>
      <c r="T146" s="354">
        <v>0</v>
      </c>
      <c r="U146" s="354">
        <v>0</v>
      </c>
      <c r="V146" s="342" t="str">
        <f t="shared" si="75"/>
        <v>3.1.13</v>
      </c>
      <c r="W146" s="346"/>
      <c r="X146" s="346"/>
    </row>
    <row r="147" spans="1:24" s="347" customFormat="1" ht="99.75" customHeight="1" x14ac:dyDescent="0.3">
      <c r="A147" s="344" t="s">
        <v>749</v>
      </c>
      <c r="B147" s="353" t="str">
        <f t="shared" si="84"/>
        <v>Реконструкция тепловых сетей (подземной прокладки с выносом на поверхность) в п. Верхний Ландех, ул. Новая, 1А, от ТК-4 до У-28, L=15м, Ду100, надземная прокладка</v>
      </c>
      <c r="C147" s="354">
        <f t="shared" si="84"/>
        <v>544.58299999999997</v>
      </c>
      <c r="D147" s="354">
        <f t="shared" si="84"/>
        <v>0</v>
      </c>
      <c r="E147" s="354">
        <f t="shared" si="84"/>
        <v>544.58299999999997</v>
      </c>
      <c r="F147" s="345">
        <f t="shared" si="40"/>
        <v>544.58299999999997</v>
      </c>
      <c r="G147" s="354">
        <v>0</v>
      </c>
      <c r="H147" s="354">
        <v>0</v>
      </c>
      <c r="I147" s="354">
        <v>0</v>
      </c>
      <c r="J147" s="345">
        <f t="shared" si="81"/>
        <v>54.458299999999994</v>
      </c>
      <c r="K147" s="345">
        <f t="shared" ref="K147:S147" si="86">J147</f>
        <v>54.458299999999994</v>
      </c>
      <c r="L147" s="345">
        <f t="shared" si="86"/>
        <v>54.458299999999994</v>
      </c>
      <c r="M147" s="345">
        <f t="shared" si="86"/>
        <v>54.458299999999994</v>
      </c>
      <c r="N147" s="345">
        <f t="shared" si="86"/>
        <v>54.458299999999994</v>
      </c>
      <c r="O147" s="345">
        <f t="shared" si="86"/>
        <v>54.458299999999994</v>
      </c>
      <c r="P147" s="345">
        <f t="shared" si="86"/>
        <v>54.458299999999994</v>
      </c>
      <c r="Q147" s="345">
        <f t="shared" si="86"/>
        <v>54.458299999999994</v>
      </c>
      <c r="R147" s="345">
        <f t="shared" si="86"/>
        <v>54.458299999999994</v>
      </c>
      <c r="S147" s="345">
        <f t="shared" si="86"/>
        <v>54.458299999999994</v>
      </c>
      <c r="T147" s="354">
        <v>0</v>
      </c>
      <c r="U147" s="354">
        <v>0</v>
      </c>
      <c r="V147" s="342" t="str">
        <f t="shared" si="75"/>
        <v>3.1.14</v>
      </c>
      <c r="W147" s="346"/>
      <c r="X147" s="346"/>
    </row>
    <row r="148" spans="1:24" s="347" customFormat="1" ht="99.75" customHeight="1" x14ac:dyDescent="0.3">
      <c r="A148" s="344" t="s">
        <v>750</v>
      </c>
      <c r="B148" s="353" t="str">
        <f t="shared" si="84"/>
        <v>Реконструкция тепловых сетей в п. Верхний Ландех, ул. Новая, 1А, от У-15 до У-16, L=40м, Ду125, надземная прокладка</v>
      </c>
      <c r="C148" s="354">
        <f t="shared" si="84"/>
        <v>966.97500000000002</v>
      </c>
      <c r="D148" s="354">
        <f t="shared" si="84"/>
        <v>0</v>
      </c>
      <c r="E148" s="354">
        <f t="shared" si="84"/>
        <v>966.97500000000002</v>
      </c>
      <c r="F148" s="345">
        <f t="shared" si="40"/>
        <v>966.97500000000002</v>
      </c>
      <c r="G148" s="354">
        <v>0</v>
      </c>
      <c r="H148" s="354">
        <v>0</v>
      </c>
      <c r="I148" s="354">
        <v>0</v>
      </c>
      <c r="J148" s="345">
        <f>C148/10</f>
        <v>96.697500000000005</v>
      </c>
      <c r="K148" s="345">
        <f t="shared" ref="K148:S148" si="87">J148</f>
        <v>96.697500000000005</v>
      </c>
      <c r="L148" s="345">
        <f t="shared" si="87"/>
        <v>96.697500000000005</v>
      </c>
      <c r="M148" s="345">
        <f t="shared" si="87"/>
        <v>96.697500000000005</v>
      </c>
      <c r="N148" s="345">
        <f t="shared" si="87"/>
        <v>96.697500000000005</v>
      </c>
      <c r="O148" s="345">
        <f t="shared" si="87"/>
        <v>96.697500000000005</v>
      </c>
      <c r="P148" s="345">
        <f t="shared" si="87"/>
        <v>96.697500000000005</v>
      </c>
      <c r="Q148" s="345">
        <f t="shared" si="87"/>
        <v>96.697500000000005</v>
      </c>
      <c r="R148" s="345">
        <f t="shared" si="87"/>
        <v>96.697500000000005</v>
      </c>
      <c r="S148" s="345">
        <f t="shared" si="87"/>
        <v>96.697500000000005</v>
      </c>
      <c r="T148" s="354">
        <v>0</v>
      </c>
      <c r="U148" s="354">
        <v>0</v>
      </c>
      <c r="V148" s="342" t="str">
        <f t="shared" si="75"/>
        <v>3.1.15</v>
      </c>
      <c r="W148" s="346"/>
      <c r="X148" s="346"/>
    </row>
    <row r="149" spans="1:24" s="347" customFormat="1" ht="99.75" customHeight="1" x14ac:dyDescent="0.3">
      <c r="A149" s="344" t="s">
        <v>751</v>
      </c>
      <c r="B149" s="353" t="str">
        <f t="shared" si="84"/>
        <v>Реконструкция тепловых сетей в п. Верхний Ландех, ул. Новая, 1А, от У-17 до У-18, L=21,6м, Ду125, надземная прокладка</v>
      </c>
      <c r="C149" s="354">
        <f t="shared" si="84"/>
        <v>522.16800000000001</v>
      </c>
      <c r="D149" s="354">
        <f t="shared" si="84"/>
        <v>0</v>
      </c>
      <c r="E149" s="354">
        <f t="shared" si="84"/>
        <v>522.16800000000001</v>
      </c>
      <c r="F149" s="345">
        <f t="shared" si="40"/>
        <v>522.16799999999989</v>
      </c>
      <c r="G149" s="354">
        <v>0</v>
      </c>
      <c r="H149" s="354">
        <v>0</v>
      </c>
      <c r="I149" s="354">
        <v>0</v>
      </c>
      <c r="J149" s="345">
        <f t="shared" ref="J149:J154" si="88">C149/10</f>
        <v>52.216799999999999</v>
      </c>
      <c r="K149" s="345">
        <f t="shared" ref="K149:S149" si="89">J149</f>
        <v>52.216799999999999</v>
      </c>
      <c r="L149" s="345">
        <f t="shared" si="89"/>
        <v>52.216799999999999</v>
      </c>
      <c r="M149" s="345">
        <f t="shared" si="89"/>
        <v>52.216799999999999</v>
      </c>
      <c r="N149" s="345">
        <f t="shared" si="89"/>
        <v>52.216799999999999</v>
      </c>
      <c r="O149" s="345">
        <f t="shared" si="89"/>
        <v>52.216799999999999</v>
      </c>
      <c r="P149" s="345">
        <f t="shared" si="89"/>
        <v>52.216799999999999</v>
      </c>
      <c r="Q149" s="345">
        <f t="shared" si="89"/>
        <v>52.216799999999999</v>
      </c>
      <c r="R149" s="345">
        <f t="shared" si="89"/>
        <v>52.216799999999999</v>
      </c>
      <c r="S149" s="345">
        <f t="shared" si="89"/>
        <v>52.216799999999999</v>
      </c>
      <c r="T149" s="354">
        <v>0</v>
      </c>
      <c r="U149" s="354">
        <v>0</v>
      </c>
      <c r="V149" s="342" t="str">
        <f t="shared" si="75"/>
        <v>3.1.16</v>
      </c>
      <c r="W149" s="346"/>
      <c r="X149" s="346"/>
    </row>
    <row r="150" spans="1:24" s="347" customFormat="1" ht="99.75" customHeight="1" x14ac:dyDescent="0.3">
      <c r="A150" s="344" t="s">
        <v>752</v>
      </c>
      <c r="B150" s="353" t="str">
        <f t="shared" si="84"/>
        <v>Реконструкция тепловых сетей в п. Верхний Ландех, ул. Новая, 1А, от У-18 до У-20, L=20,3 м, Ду125, надземная прокладка</v>
      </c>
      <c r="C150" s="354">
        <f t="shared" si="84"/>
        <v>490.74099999999999</v>
      </c>
      <c r="D150" s="354">
        <f t="shared" si="84"/>
        <v>0</v>
      </c>
      <c r="E150" s="354">
        <f t="shared" si="84"/>
        <v>490.74099999999999</v>
      </c>
      <c r="F150" s="345">
        <f t="shared" si="40"/>
        <v>490.74099999999993</v>
      </c>
      <c r="G150" s="354">
        <v>0</v>
      </c>
      <c r="H150" s="354">
        <v>0</v>
      </c>
      <c r="I150" s="354">
        <v>0</v>
      </c>
      <c r="J150" s="345">
        <f t="shared" si="88"/>
        <v>49.074100000000001</v>
      </c>
      <c r="K150" s="345">
        <f t="shared" ref="K150:S150" si="90">J150</f>
        <v>49.074100000000001</v>
      </c>
      <c r="L150" s="345">
        <f t="shared" si="90"/>
        <v>49.074100000000001</v>
      </c>
      <c r="M150" s="345">
        <f t="shared" si="90"/>
        <v>49.074100000000001</v>
      </c>
      <c r="N150" s="345">
        <f t="shared" si="90"/>
        <v>49.074100000000001</v>
      </c>
      <c r="O150" s="345">
        <f t="shared" si="90"/>
        <v>49.074100000000001</v>
      </c>
      <c r="P150" s="345">
        <f t="shared" si="90"/>
        <v>49.074100000000001</v>
      </c>
      <c r="Q150" s="345">
        <f t="shared" si="90"/>
        <v>49.074100000000001</v>
      </c>
      <c r="R150" s="345">
        <f t="shared" si="90"/>
        <v>49.074100000000001</v>
      </c>
      <c r="S150" s="345">
        <f t="shared" si="90"/>
        <v>49.074100000000001</v>
      </c>
      <c r="T150" s="354">
        <v>0</v>
      </c>
      <c r="U150" s="354">
        <v>0</v>
      </c>
      <c r="V150" s="342" t="str">
        <f t="shared" si="75"/>
        <v>3.1.17</v>
      </c>
      <c r="W150" s="346"/>
      <c r="X150" s="346"/>
    </row>
    <row r="151" spans="1:24" s="347" customFormat="1" ht="99.75" customHeight="1" x14ac:dyDescent="0.3">
      <c r="A151" s="344" t="s">
        <v>753</v>
      </c>
      <c r="B151" s="353" t="str">
        <f t="shared" si="84"/>
        <v>Реконструкция тепловых сетей в п.Верхний Ландех, ул. Новая, 1А , от У-20 до У-21, L=7,4м, Ду125, надземная прокладка</v>
      </c>
      <c r="C151" s="354">
        <f t="shared" si="84"/>
        <v>178.89099999999999</v>
      </c>
      <c r="D151" s="354">
        <f t="shared" si="84"/>
        <v>0</v>
      </c>
      <c r="E151" s="354">
        <f t="shared" si="84"/>
        <v>178.89099999999999</v>
      </c>
      <c r="F151" s="345">
        <f t="shared" si="40"/>
        <v>178.89099999999996</v>
      </c>
      <c r="G151" s="354">
        <v>0</v>
      </c>
      <c r="H151" s="354">
        <v>0</v>
      </c>
      <c r="I151" s="354">
        <v>0</v>
      </c>
      <c r="J151" s="345">
        <f t="shared" si="88"/>
        <v>17.889099999999999</v>
      </c>
      <c r="K151" s="345">
        <f t="shared" ref="K151:S151" si="91">J151</f>
        <v>17.889099999999999</v>
      </c>
      <c r="L151" s="345">
        <f t="shared" si="91"/>
        <v>17.889099999999999</v>
      </c>
      <c r="M151" s="345">
        <f t="shared" si="91"/>
        <v>17.889099999999999</v>
      </c>
      <c r="N151" s="345">
        <f t="shared" si="91"/>
        <v>17.889099999999999</v>
      </c>
      <c r="O151" s="345">
        <f t="shared" si="91"/>
        <v>17.889099999999999</v>
      </c>
      <c r="P151" s="345">
        <f t="shared" si="91"/>
        <v>17.889099999999999</v>
      </c>
      <c r="Q151" s="345">
        <f t="shared" si="91"/>
        <v>17.889099999999999</v>
      </c>
      <c r="R151" s="345">
        <f t="shared" si="91"/>
        <v>17.889099999999999</v>
      </c>
      <c r="S151" s="345">
        <f t="shared" si="91"/>
        <v>17.889099999999999</v>
      </c>
      <c r="T151" s="354">
        <v>0</v>
      </c>
      <c r="U151" s="354">
        <v>0</v>
      </c>
      <c r="V151" s="342" t="str">
        <f t="shared" si="75"/>
        <v>3.1.18</v>
      </c>
      <c r="W151" s="346"/>
      <c r="X151" s="346"/>
    </row>
    <row r="152" spans="1:24" s="347" customFormat="1" ht="99.75" customHeight="1" x14ac:dyDescent="0.3">
      <c r="A152" s="344" t="s">
        <v>754</v>
      </c>
      <c r="B152" s="353" t="str">
        <f t="shared" si="84"/>
        <v>Реконструкция тепловых сетей в п. Верхний Ландех, ул. Новая, 1А, от У-21 до У-22, L=11м, Ду125, надземная прокладка</v>
      </c>
      <c r="C152" s="354">
        <f t="shared" si="84"/>
        <v>265.91899999999998</v>
      </c>
      <c r="D152" s="354">
        <f t="shared" si="84"/>
        <v>0</v>
      </c>
      <c r="E152" s="354">
        <f t="shared" si="84"/>
        <v>265.91899999999998</v>
      </c>
      <c r="F152" s="345">
        <f t="shared" si="40"/>
        <v>265.91900000000004</v>
      </c>
      <c r="G152" s="354">
        <v>0</v>
      </c>
      <c r="H152" s="354">
        <v>0</v>
      </c>
      <c r="I152" s="354">
        <v>0</v>
      </c>
      <c r="J152" s="345">
        <f t="shared" si="88"/>
        <v>26.591899999999999</v>
      </c>
      <c r="K152" s="345">
        <f t="shared" ref="K152:S152" si="92">J152</f>
        <v>26.591899999999999</v>
      </c>
      <c r="L152" s="345">
        <f t="shared" si="92"/>
        <v>26.591899999999999</v>
      </c>
      <c r="M152" s="345">
        <f t="shared" si="92"/>
        <v>26.591899999999999</v>
      </c>
      <c r="N152" s="345">
        <f t="shared" si="92"/>
        <v>26.591899999999999</v>
      </c>
      <c r="O152" s="345">
        <f t="shared" si="92"/>
        <v>26.591899999999999</v>
      </c>
      <c r="P152" s="345">
        <f t="shared" si="92"/>
        <v>26.591899999999999</v>
      </c>
      <c r="Q152" s="345">
        <f t="shared" si="92"/>
        <v>26.591899999999999</v>
      </c>
      <c r="R152" s="345">
        <f t="shared" si="92"/>
        <v>26.591899999999999</v>
      </c>
      <c r="S152" s="345">
        <f t="shared" si="92"/>
        <v>26.591899999999999</v>
      </c>
      <c r="T152" s="354">
        <v>0</v>
      </c>
      <c r="U152" s="354">
        <v>0</v>
      </c>
      <c r="V152" s="342" t="str">
        <f t="shared" si="75"/>
        <v>3.1.19</v>
      </c>
      <c r="W152" s="346"/>
      <c r="X152" s="346"/>
    </row>
    <row r="153" spans="1:24" s="347" customFormat="1" ht="99.75" customHeight="1" x14ac:dyDescent="0.3">
      <c r="A153" s="344" t="s">
        <v>755</v>
      </c>
      <c r="B153" s="353" t="str">
        <f t="shared" si="84"/>
        <v>Реконструкция тепловых сетей в п. Верхний Ландех, ул. Новая, 1А , от У-22 до У-23, L=3м, Ду125, надземная прокладка</v>
      </c>
      <c r="C153" s="354">
        <f t="shared" si="84"/>
        <v>72.522999999999996</v>
      </c>
      <c r="D153" s="354">
        <f t="shared" si="84"/>
        <v>0</v>
      </c>
      <c r="E153" s="354">
        <f t="shared" si="84"/>
        <v>72.522999999999996</v>
      </c>
      <c r="F153" s="345">
        <f t="shared" si="40"/>
        <v>72.522999999999996</v>
      </c>
      <c r="G153" s="354">
        <v>0</v>
      </c>
      <c r="H153" s="354">
        <v>0</v>
      </c>
      <c r="I153" s="354">
        <v>0</v>
      </c>
      <c r="J153" s="345">
        <f t="shared" si="88"/>
        <v>7.2523</v>
      </c>
      <c r="K153" s="345">
        <f t="shared" ref="K153:S153" si="93">J153</f>
        <v>7.2523</v>
      </c>
      <c r="L153" s="345">
        <f t="shared" si="93"/>
        <v>7.2523</v>
      </c>
      <c r="M153" s="345">
        <f t="shared" si="93"/>
        <v>7.2523</v>
      </c>
      <c r="N153" s="345">
        <f t="shared" si="93"/>
        <v>7.2523</v>
      </c>
      <c r="O153" s="345">
        <f t="shared" si="93"/>
        <v>7.2523</v>
      </c>
      <c r="P153" s="345">
        <f t="shared" si="93"/>
        <v>7.2523</v>
      </c>
      <c r="Q153" s="345">
        <f t="shared" si="93"/>
        <v>7.2523</v>
      </c>
      <c r="R153" s="345">
        <f t="shared" si="93"/>
        <v>7.2523</v>
      </c>
      <c r="S153" s="345">
        <f t="shared" si="93"/>
        <v>7.2523</v>
      </c>
      <c r="T153" s="354">
        <v>0</v>
      </c>
      <c r="U153" s="354">
        <v>0</v>
      </c>
      <c r="V153" s="342" t="str">
        <f t="shared" si="75"/>
        <v>3.1.20</v>
      </c>
      <c r="W153" s="346"/>
      <c r="X153" s="346"/>
    </row>
    <row r="154" spans="1:24" s="347" customFormat="1" ht="99.75" customHeight="1" x14ac:dyDescent="0.3">
      <c r="A154" s="344" t="s">
        <v>756</v>
      </c>
      <c r="B154" s="353" t="str">
        <f t="shared" si="84"/>
        <v>Реконструкция тепловых сетей в п. Верхний Ландех, ул. Новая, 1А , от У-23 до У-24, L=9,2м, Ду125, надземная прокладка</v>
      </c>
      <c r="C154" s="354">
        <f t="shared" si="84"/>
        <v>222.405</v>
      </c>
      <c r="D154" s="354">
        <f t="shared" si="84"/>
        <v>0</v>
      </c>
      <c r="E154" s="354">
        <f t="shared" si="84"/>
        <v>222.405</v>
      </c>
      <c r="F154" s="345">
        <f t="shared" si="40"/>
        <v>222.405</v>
      </c>
      <c r="G154" s="354">
        <v>0</v>
      </c>
      <c r="H154" s="354">
        <v>0</v>
      </c>
      <c r="I154" s="354">
        <v>0</v>
      </c>
      <c r="J154" s="345">
        <f t="shared" si="88"/>
        <v>22.240500000000001</v>
      </c>
      <c r="K154" s="345">
        <f t="shared" ref="K154:S154" si="94">J154</f>
        <v>22.240500000000001</v>
      </c>
      <c r="L154" s="345">
        <f t="shared" si="94"/>
        <v>22.240500000000001</v>
      </c>
      <c r="M154" s="345">
        <f t="shared" si="94"/>
        <v>22.240500000000001</v>
      </c>
      <c r="N154" s="345">
        <f t="shared" si="94"/>
        <v>22.240500000000001</v>
      </c>
      <c r="O154" s="345">
        <f t="shared" si="94"/>
        <v>22.240500000000001</v>
      </c>
      <c r="P154" s="345">
        <f t="shared" si="94"/>
        <v>22.240500000000001</v>
      </c>
      <c r="Q154" s="345">
        <f t="shared" si="94"/>
        <v>22.240500000000001</v>
      </c>
      <c r="R154" s="345">
        <f t="shared" si="94"/>
        <v>22.240500000000001</v>
      </c>
      <c r="S154" s="345">
        <f t="shared" si="94"/>
        <v>22.240500000000001</v>
      </c>
      <c r="T154" s="354">
        <v>0</v>
      </c>
      <c r="U154" s="354">
        <v>0</v>
      </c>
      <c r="V154" s="342" t="str">
        <f t="shared" si="75"/>
        <v>3.1.21</v>
      </c>
      <c r="W154" s="346"/>
      <c r="X154" s="346"/>
    </row>
    <row r="155" spans="1:24" s="347" customFormat="1" ht="99.75" customHeight="1" x14ac:dyDescent="0.3">
      <c r="A155" s="344" t="s">
        <v>757</v>
      </c>
      <c r="B155" s="353" t="str">
        <f t="shared" si="84"/>
        <v>Реконструкция тепловых сетей (подземной прокладки с выносом на поверхность) в п. Верхний Ландех, ул. Новая, 1А, от У-16 до У-17, L=26м, Ду125, надземная прокладка</v>
      </c>
      <c r="C155" s="354">
        <f t="shared" si="84"/>
        <v>628.53599999999994</v>
      </c>
      <c r="D155" s="354">
        <f t="shared" si="84"/>
        <v>0</v>
      </c>
      <c r="E155" s="354">
        <f t="shared" si="84"/>
        <v>628.53599999999994</v>
      </c>
      <c r="F155" s="345">
        <f t="shared" si="40"/>
        <v>628.53599999999994</v>
      </c>
      <c r="G155" s="354">
        <v>0</v>
      </c>
      <c r="H155" s="354">
        <v>0</v>
      </c>
      <c r="I155" s="354">
        <v>0</v>
      </c>
      <c r="J155" s="345">
        <f>C155/10</f>
        <v>62.853599999999993</v>
      </c>
      <c r="K155" s="345">
        <f t="shared" ref="K155:S155" si="95">J155</f>
        <v>62.853599999999993</v>
      </c>
      <c r="L155" s="345">
        <f t="shared" si="95"/>
        <v>62.853599999999993</v>
      </c>
      <c r="M155" s="345">
        <f t="shared" si="95"/>
        <v>62.853599999999993</v>
      </c>
      <c r="N155" s="345">
        <f t="shared" si="95"/>
        <v>62.853599999999993</v>
      </c>
      <c r="O155" s="345">
        <f t="shared" si="95"/>
        <v>62.853599999999993</v>
      </c>
      <c r="P155" s="345">
        <f t="shared" si="95"/>
        <v>62.853599999999993</v>
      </c>
      <c r="Q155" s="345">
        <f t="shared" si="95"/>
        <v>62.853599999999993</v>
      </c>
      <c r="R155" s="345">
        <f t="shared" si="95"/>
        <v>62.853599999999993</v>
      </c>
      <c r="S155" s="345">
        <f t="shared" si="95"/>
        <v>62.853599999999993</v>
      </c>
      <c r="T155" s="354">
        <v>0</v>
      </c>
      <c r="U155" s="354">
        <v>0</v>
      </c>
      <c r="V155" s="342" t="str">
        <f t="shared" si="75"/>
        <v>3.1.22</v>
      </c>
      <c r="W155" s="346"/>
      <c r="X155" s="346"/>
    </row>
    <row r="156" spans="1:24" s="347" customFormat="1" ht="99.75" customHeight="1" x14ac:dyDescent="0.3">
      <c r="A156" s="344" t="s">
        <v>758</v>
      </c>
      <c r="B156" s="353" t="str">
        <f t="shared" si="84"/>
        <v>Реконструкция тепловых сетей в п. Верхний Ландех, ул. Новая, 1А, от У-24 до ТК-4, L=36,7м, Ду125мм, канальная прокладка</v>
      </c>
      <c r="C156" s="354">
        <f t="shared" si="84"/>
        <v>1304.4179999999999</v>
      </c>
      <c r="D156" s="354">
        <f t="shared" si="84"/>
        <v>0</v>
      </c>
      <c r="E156" s="354">
        <f t="shared" si="84"/>
        <v>1304.4179999999999</v>
      </c>
      <c r="F156" s="345">
        <f t="shared" si="40"/>
        <v>1304.4180000000003</v>
      </c>
      <c r="G156" s="354">
        <v>0</v>
      </c>
      <c r="H156" s="354">
        <v>0</v>
      </c>
      <c r="I156" s="354">
        <v>0</v>
      </c>
      <c r="J156" s="345">
        <f t="shared" ref="J156:J157" si="96">C156/10</f>
        <v>130.4418</v>
      </c>
      <c r="K156" s="345">
        <f t="shared" ref="K156:S156" si="97">J156</f>
        <v>130.4418</v>
      </c>
      <c r="L156" s="345">
        <f t="shared" si="97"/>
        <v>130.4418</v>
      </c>
      <c r="M156" s="345">
        <f t="shared" si="97"/>
        <v>130.4418</v>
      </c>
      <c r="N156" s="345">
        <f t="shared" si="97"/>
        <v>130.4418</v>
      </c>
      <c r="O156" s="345">
        <f t="shared" si="97"/>
        <v>130.4418</v>
      </c>
      <c r="P156" s="345">
        <f t="shared" si="97"/>
        <v>130.4418</v>
      </c>
      <c r="Q156" s="345">
        <f t="shared" si="97"/>
        <v>130.4418</v>
      </c>
      <c r="R156" s="345">
        <f t="shared" si="97"/>
        <v>130.4418</v>
      </c>
      <c r="S156" s="345">
        <f t="shared" si="97"/>
        <v>130.4418</v>
      </c>
      <c r="T156" s="354">
        <v>0</v>
      </c>
      <c r="U156" s="354">
        <v>0</v>
      </c>
      <c r="V156" s="342" t="str">
        <f t="shared" si="75"/>
        <v>3.1.23</v>
      </c>
      <c r="W156" s="346"/>
      <c r="X156" s="346"/>
    </row>
    <row r="157" spans="1:24" s="347" customFormat="1" ht="99.75" customHeight="1" x14ac:dyDescent="0.3">
      <c r="A157" s="344" t="s">
        <v>759</v>
      </c>
      <c r="B157" s="353" t="str">
        <f t="shared" si="84"/>
        <v>Реконструкция участка сети (подземной прокладки с выносом на поверхность) Д 108 мм от У-1 до У1А  L=76 м  (в 2-х трубном исчислении) в п. Верхний Ландех ул. Октябрьская</v>
      </c>
      <c r="C157" s="354">
        <f t="shared" si="84"/>
        <v>1655.5319999999999</v>
      </c>
      <c r="D157" s="354">
        <f t="shared" si="84"/>
        <v>0</v>
      </c>
      <c r="E157" s="354">
        <f t="shared" si="84"/>
        <v>1655.5319999999999</v>
      </c>
      <c r="F157" s="345">
        <f t="shared" si="40"/>
        <v>1655.5320000000004</v>
      </c>
      <c r="G157" s="354">
        <v>0</v>
      </c>
      <c r="H157" s="354">
        <v>0</v>
      </c>
      <c r="I157" s="354">
        <v>0</v>
      </c>
      <c r="J157" s="345">
        <f t="shared" si="96"/>
        <v>165.5532</v>
      </c>
      <c r="K157" s="345">
        <f t="shared" ref="K157:S158" si="98">J157</f>
        <v>165.5532</v>
      </c>
      <c r="L157" s="345">
        <f t="shared" si="98"/>
        <v>165.5532</v>
      </c>
      <c r="M157" s="345">
        <f t="shared" si="98"/>
        <v>165.5532</v>
      </c>
      <c r="N157" s="345">
        <f t="shared" si="98"/>
        <v>165.5532</v>
      </c>
      <c r="O157" s="345">
        <f t="shared" si="98"/>
        <v>165.5532</v>
      </c>
      <c r="P157" s="345">
        <f t="shared" si="98"/>
        <v>165.5532</v>
      </c>
      <c r="Q157" s="345">
        <f t="shared" si="98"/>
        <v>165.5532</v>
      </c>
      <c r="R157" s="345">
        <f t="shared" si="98"/>
        <v>165.5532</v>
      </c>
      <c r="S157" s="345">
        <f t="shared" si="98"/>
        <v>165.5532</v>
      </c>
      <c r="T157" s="354">
        <v>0</v>
      </c>
      <c r="U157" s="354">
        <v>0</v>
      </c>
      <c r="V157" s="342" t="str">
        <f t="shared" si="75"/>
        <v>3.1.24</v>
      </c>
      <c r="W157" s="346"/>
      <c r="X157" s="346"/>
    </row>
    <row r="158" spans="1:24" s="347" customFormat="1" ht="99.75" customHeight="1" x14ac:dyDescent="0.3">
      <c r="A158" s="344" t="s">
        <v>760</v>
      </c>
      <c r="B158" s="353" t="str">
        <f t="shared" si="84"/>
        <v>Реконструкция участка сети от У-3 до ул. Строителей, д. 8, Дн45 мм длиной 26 м (надземная прокладка) котельная № 3 п. Верхний Ландех</v>
      </c>
      <c r="C158" s="354">
        <f t="shared" si="84"/>
        <v>258.38500000000005</v>
      </c>
      <c r="D158" s="354">
        <f t="shared" si="84"/>
        <v>0</v>
      </c>
      <c r="E158" s="354">
        <f t="shared" si="84"/>
        <v>258.38500000000005</v>
      </c>
      <c r="F158" s="345">
        <f t="shared" si="40"/>
        <v>258.38500000000005</v>
      </c>
      <c r="G158" s="354">
        <v>0</v>
      </c>
      <c r="H158" s="354">
        <v>0</v>
      </c>
      <c r="I158" s="354">
        <v>0</v>
      </c>
      <c r="J158" s="354">
        <v>0</v>
      </c>
      <c r="K158" s="345">
        <f>C158/10</f>
        <v>25.838500000000003</v>
      </c>
      <c r="L158" s="345">
        <f t="shared" si="98"/>
        <v>25.838500000000003</v>
      </c>
      <c r="M158" s="345">
        <f t="shared" si="98"/>
        <v>25.838500000000003</v>
      </c>
      <c r="N158" s="345">
        <f t="shared" si="98"/>
        <v>25.838500000000003</v>
      </c>
      <c r="O158" s="345">
        <f t="shared" si="98"/>
        <v>25.838500000000003</v>
      </c>
      <c r="P158" s="345">
        <f t="shared" si="98"/>
        <v>25.838500000000003</v>
      </c>
      <c r="Q158" s="345">
        <f t="shared" si="98"/>
        <v>25.838500000000003</v>
      </c>
      <c r="R158" s="345">
        <f t="shared" si="98"/>
        <v>25.838500000000003</v>
      </c>
      <c r="S158" s="345">
        <f t="shared" si="98"/>
        <v>25.838500000000003</v>
      </c>
      <c r="T158" s="345">
        <f>S158</f>
        <v>25.838500000000003</v>
      </c>
      <c r="U158" s="354">
        <v>0</v>
      </c>
      <c r="V158" s="342" t="str">
        <f t="shared" si="75"/>
        <v>3.1.25</v>
      </c>
      <c r="W158" s="346"/>
      <c r="X158" s="346"/>
    </row>
    <row r="159" spans="1:24" s="347" customFormat="1" ht="112.5" customHeight="1" x14ac:dyDescent="0.3">
      <c r="A159" s="344" t="s">
        <v>761</v>
      </c>
      <c r="B159" s="353" t="str">
        <f t="shared" si="84"/>
        <v>Реконструкция существующего (подземного) участка тепловых сетей (с выносом на поверхность) в п. Верхний Ландех, ул. Строителей, д.24А, от ТК-10 до ТК-2, L=8,6м, Ду100, надземная прокладка</v>
      </c>
      <c r="C159" s="354">
        <f t="shared" si="84"/>
        <v>195.95833333333334</v>
      </c>
      <c r="D159" s="354">
        <f t="shared" si="84"/>
        <v>0</v>
      </c>
      <c r="E159" s="354">
        <f t="shared" si="84"/>
        <v>195.95833333333334</v>
      </c>
      <c r="F159" s="345">
        <f t="shared" si="40"/>
        <v>195.95833333333334</v>
      </c>
      <c r="G159" s="354">
        <v>0</v>
      </c>
      <c r="H159" s="354">
        <v>0</v>
      </c>
      <c r="I159" s="354">
        <v>0</v>
      </c>
      <c r="J159" s="354">
        <v>0</v>
      </c>
      <c r="K159" s="345">
        <f t="shared" ref="K159:K175" si="99">C159/10</f>
        <v>19.595833333333335</v>
      </c>
      <c r="L159" s="345">
        <f t="shared" ref="L159:T159" si="100">K159</f>
        <v>19.595833333333335</v>
      </c>
      <c r="M159" s="345">
        <f t="shared" si="100"/>
        <v>19.595833333333335</v>
      </c>
      <c r="N159" s="345">
        <f t="shared" si="100"/>
        <v>19.595833333333335</v>
      </c>
      <c r="O159" s="345">
        <f t="shared" si="100"/>
        <v>19.595833333333335</v>
      </c>
      <c r="P159" s="345">
        <f t="shared" si="100"/>
        <v>19.595833333333335</v>
      </c>
      <c r="Q159" s="345">
        <f t="shared" si="100"/>
        <v>19.595833333333335</v>
      </c>
      <c r="R159" s="345">
        <f t="shared" si="100"/>
        <v>19.595833333333335</v>
      </c>
      <c r="S159" s="345">
        <f t="shared" si="100"/>
        <v>19.595833333333335</v>
      </c>
      <c r="T159" s="345">
        <f t="shared" si="100"/>
        <v>19.595833333333335</v>
      </c>
      <c r="U159" s="354">
        <v>0</v>
      </c>
      <c r="V159" s="342" t="str">
        <f t="shared" si="75"/>
        <v>3.1.26</v>
      </c>
      <c r="W159" s="346"/>
      <c r="X159" s="346"/>
    </row>
    <row r="160" spans="1:24" s="347" customFormat="1" ht="99.75" customHeight="1" x14ac:dyDescent="0.3">
      <c r="A160" s="344" t="s">
        <v>762</v>
      </c>
      <c r="B160" s="353" t="str">
        <f t="shared" si="84"/>
        <v>Реконструкция участка сети (подземной прокладки с выносом на поверхность) от ТК-10 до ул. Строителей, д.10, Дн32 мм длиной 39 м (надземная прокладка) котельная № 3 п. Верхний Ландех</v>
      </c>
      <c r="C160" s="354">
        <f t="shared" si="84"/>
        <v>524.41333333333341</v>
      </c>
      <c r="D160" s="354">
        <f t="shared" si="84"/>
        <v>0</v>
      </c>
      <c r="E160" s="354">
        <f t="shared" si="84"/>
        <v>524.41333333333341</v>
      </c>
      <c r="F160" s="345">
        <f t="shared" si="40"/>
        <v>524.4133333333333</v>
      </c>
      <c r="G160" s="354">
        <v>0</v>
      </c>
      <c r="H160" s="354">
        <v>0</v>
      </c>
      <c r="I160" s="354">
        <v>0</v>
      </c>
      <c r="J160" s="354">
        <v>0</v>
      </c>
      <c r="K160" s="345">
        <f t="shared" si="99"/>
        <v>52.44133333333334</v>
      </c>
      <c r="L160" s="345">
        <f t="shared" ref="L160:T160" si="101">K160</f>
        <v>52.44133333333334</v>
      </c>
      <c r="M160" s="345">
        <f t="shared" si="101"/>
        <v>52.44133333333334</v>
      </c>
      <c r="N160" s="345">
        <f t="shared" si="101"/>
        <v>52.44133333333334</v>
      </c>
      <c r="O160" s="345">
        <f t="shared" si="101"/>
        <v>52.44133333333334</v>
      </c>
      <c r="P160" s="345">
        <f t="shared" si="101"/>
        <v>52.44133333333334</v>
      </c>
      <c r="Q160" s="345">
        <f t="shared" si="101"/>
        <v>52.44133333333334</v>
      </c>
      <c r="R160" s="345">
        <f t="shared" si="101"/>
        <v>52.44133333333334</v>
      </c>
      <c r="S160" s="345">
        <f t="shared" si="101"/>
        <v>52.44133333333334</v>
      </c>
      <c r="T160" s="345">
        <f t="shared" si="101"/>
        <v>52.44133333333334</v>
      </c>
      <c r="U160" s="354">
        <v>0</v>
      </c>
      <c r="V160" s="342" t="str">
        <f t="shared" si="75"/>
        <v>3.1.27</v>
      </c>
      <c r="W160" s="346"/>
      <c r="X160" s="346"/>
    </row>
    <row r="161" spans="1:24" s="347" customFormat="1" ht="99.75" customHeight="1" x14ac:dyDescent="0.3">
      <c r="A161" s="344" t="s">
        <v>763</v>
      </c>
      <c r="B161" s="353" t="str">
        <f t="shared" si="84"/>
        <v>Реконструкция тепловых сетей (подземной прокладки с выносом на поверхность) в п. Верхний Ландех, ул. Строителей, д.24А, от ТК-11 до ТК-10, L=17м, Ду100, надземная прокладка</v>
      </c>
      <c r="C161" s="354">
        <f t="shared" si="84"/>
        <v>387.35166666666669</v>
      </c>
      <c r="D161" s="354">
        <f t="shared" si="84"/>
        <v>0</v>
      </c>
      <c r="E161" s="354">
        <f t="shared" si="84"/>
        <v>387.35166666666669</v>
      </c>
      <c r="F161" s="345">
        <f t="shared" si="40"/>
        <v>387.35166666666663</v>
      </c>
      <c r="G161" s="354">
        <v>0</v>
      </c>
      <c r="H161" s="354">
        <v>0</v>
      </c>
      <c r="I161" s="354">
        <v>0</v>
      </c>
      <c r="J161" s="354">
        <v>0</v>
      </c>
      <c r="K161" s="345">
        <f t="shared" si="99"/>
        <v>38.735166666666672</v>
      </c>
      <c r="L161" s="345">
        <f t="shared" ref="L161:T161" si="102">K161</f>
        <v>38.735166666666672</v>
      </c>
      <c r="M161" s="345">
        <f t="shared" si="102"/>
        <v>38.735166666666672</v>
      </c>
      <c r="N161" s="345">
        <f t="shared" si="102"/>
        <v>38.735166666666672</v>
      </c>
      <c r="O161" s="345">
        <f t="shared" si="102"/>
        <v>38.735166666666672</v>
      </c>
      <c r="P161" s="345">
        <f t="shared" si="102"/>
        <v>38.735166666666672</v>
      </c>
      <c r="Q161" s="345">
        <f t="shared" si="102"/>
        <v>38.735166666666672</v>
      </c>
      <c r="R161" s="345">
        <f t="shared" si="102"/>
        <v>38.735166666666672</v>
      </c>
      <c r="S161" s="345">
        <f t="shared" si="102"/>
        <v>38.735166666666672</v>
      </c>
      <c r="T161" s="345">
        <f t="shared" si="102"/>
        <v>38.735166666666672</v>
      </c>
      <c r="U161" s="354">
        <v>0</v>
      </c>
      <c r="V161" s="342" t="str">
        <f t="shared" si="75"/>
        <v>3.1.28</v>
      </c>
      <c r="W161" s="346"/>
      <c r="X161" s="346"/>
    </row>
    <row r="162" spans="1:24" s="347" customFormat="1" ht="99.75" customHeight="1" x14ac:dyDescent="0.3">
      <c r="A162" s="344" t="s">
        <v>764</v>
      </c>
      <c r="B162" s="353" t="str">
        <f t="shared" si="84"/>
        <v>Реконструкция тепловых сетей (подземной прокладки с выносом на поверхность) в п. Верхний Ландех, ул. Строителей, д. 24А, от ТК-11 до ТК-12, L=13м, Ду80, надземная прокладка</v>
      </c>
      <c r="C162" s="354">
        <f t="shared" si="84"/>
        <v>287.91500000000002</v>
      </c>
      <c r="D162" s="354">
        <f t="shared" si="84"/>
        <v>0</v>
      </c>
      <c r="E162" s="354">
        <f t="shared" si="84"/>
        <v>287.91500000000002</v>
      </c>
      <c r="F162" s="345">
        <f t="shared" si="40"/>
        <v>287.91500000000002</v>
      </c>
      <c r="G162" s="354">
        <v>0</v>
      </c>
      <c r="H162" s="354">
        <v>0</v>
      </c>
      <c r="I162" s="354">
        <v>0</v>
      </c>
      <c r="J162" s="354">
        <v>0</v>
      </c>
      <c r="K162" s="345">
        <f t="shared" si="99"/>
        <v>28.791500000000003</v>
      </c>
      <c r="L162" s="345">
        <f t="shared" ref="L162:T162" si="103">K162</f>
        <v>28.791500000000003</v>
      </c>
      <c r="M162" s="345">
        <f t="shared" si="103"/>
        <v>28.791500000000003</v>
      </c>
      <c r="N162" s="345">
        <f t="shared" si="103"/>
        <v>28.791500000000003</v>
      </c>
      <c r="O162" s="345">
        <f t="shared" si="103"/>
        <v>28.791500000000003</v>
      </c>
      <c r="P162" s="345">
        <f t="shared" si="103"/>
        <v>28.791500000000003</v>
      </c>
      <c r="Q162" s="345">
        <f t="shared" si="103"/>
        <v>28.791500000000003</v>
      </c>
      <c r="R162" s="345">
        <f t="shared" si="103"/>
        <v>28.791500000000003</v>
      </c>
      <c r="S162" s="345">
        <f t="shared" si="103"/>
        <v>28.791500000000003</v>
      </c>
      <c r="T162" s="345">
        <f t="shared" si="103"/>
        <v>28.791500000000003</v>
      </c>
      <c r="U162" s="354">
        <v>0</v>
      </c>
      <c r="V162" s="342" t="str">
        <f t="shared" si="75"/>
        <v>3.1.29</v>
      </c>
      <c r="W162" s="346"/>
      <c r="X162" s="346"/>
    </row>
    <row r="163" spans="1:24" s="347" customFormat="1" ht="99.75" customHeight="1" x14ac:dyDescent="0.3">
      <c r="A163" s="344" t="s">
        <v>765</v>
      </c>
      <c r="B163" s="353" t="str">
        <f t="shared" si="84"/>
        <v>Реконструкция участка сети (подземной прокладки с выносом на поверхность) от ТК-12 до ул. Строителей, д.16, Ду50 мм длиной 11 м (надземная прокладка) котельная № 3 п. Верхний Ландех</v>
      </c>
      <c r="C163" s="354">
        <f t="shared" si="84"/>
        <v>138.52000000000001</v>
      </c>
      <c r="D163" s="354">
        <f t="shared" si="84"/>
        <v>0</v>
      </c>
      <c r="E163" s="354">
        <f t="shared" si="84"/>
        <v>138.52000000000001</v>
      </c>
      <c r="F163" s="345">
        <f t="shared" si="40"/>
        <v>138.52000000000001</v>
      </c>
      <c r="G163" s="354">
        <v>0</v>
      </c>
      <c r="H163" s="354">
        <v>0</v>
      </c>
      <c r="I163" s="354">
        <v>0</v>
      </c>
      <c r="J163" s="354">
        <v>0</v>
      </c>
      <c r="K163" s="345">
        <f t="shared" si="99"/>
        <v>13.852</v>
      </c>
      <c r="L163" s="345">
        <f t="shared" ref="L163:T163" si="104">K163</f>
        <v>13.852</v>
      </c>
      <c r="M163" s="345">
        <f t="shared" si="104"/>
        <v>13.852</v>
      </c>
      <c r="N163" s="345">
        <f t="shared" si="104"/>
        <v>13.852</v>
      </c>
      <c r="O163" s="345">
        <f t="shared" si="104"/>
        <v>13.852</v>
      </c>
      <c r="P163" s="345">
        <f t="shared" si="104"/>
        <v>13.852</v>
      </c>
      <c r="Q163" s="345">
        <f t="shared" si="104"/>
        <v>13.852</v>
      </c>
      <c r="R163" s="345">
        <f t="shared" si="104"/>
        <v>13.852</v>
      </c>
      <c r="S163" s="345">
        <f t="shared" si="104"/>
        <v>13.852</v>
      </c>
      <c r="T163" s="345">
        <f t="shared" si="104"/>
        <v>13.852</v>
      </c>
      <c r="U163" s="354">
        <v>0</v>
      </c>
      <c r="V163" s="342" t="str">
        <f t="shared" ref="V163:V170" si="105">V83</f>
        <v>3.1.30</v>
      </c>
      <c r="W163" s="346"/>
      <c r="X163" s="346"/>
    </row>
    <row r="164" spans="1:24" s="347" customFormat="1" ht="99.75" customHeight="1" x14ac:dyDescent="0.3">
      <c r="A164" s="344" t="s">
        <v>766</v>
      </c>
      <c r="B164" s="353" t="str">
        <f t="shared" si="84"/>
        <v>Реконструкция тепловых сетей (подземной прокладки с выносом на поверхность) в п. Верхний Ландех, ул. Строителей, д. 24А , от ТК-12 до ул. Строителей, д. 15, L=107,4 м, Дн76, надземная прокладка</v>
      </c>
      <c r="C164" s="354">
        <f t="shared" si="84"/>
        <v>2378.6170000000002</v>
      </c>
      <c r="D164" s="354">
        <f t="shared" si="84"/>
        <v>0</v>
      </c>
      <c r="E164" s="354">
        <f t="shared" si="84"/>
        <v>2378.6170000000002</v>
      </c>
      <c r="F164" s="345">
        <f t="shared" si="40"/>
        <v>2378.6169999999997</v>
      </c>
      <c r="G164" s="354">
        <v>0</v>
      </c>
      <c r="H164" s="354">
        <v>0</v>
      </c>
      <c r="I164" s="354">
        <v>0</v>
      </c>
      <c r="J164" s="354">
        <v>0</v>
      </c>
      <c r="K164" s="345">
        <f t="shared" si="99"/>
        <v>237.86170000000001</v>
      </c>
      <c r="L164" s="345">
        <f t="shared" ref="L164:T164" si="106">K164</f>
        <v>237.86170000000001</v>
      </c>
      <c r="M164" s="345">
        <f t="shared" si="106"/>
        <v>237.86170000000001</v>
      </c>
      <c r="N164" s="345">
        <f t="shared" si="106"/>
        <v>237.86170000000001</v>
      </c>
      <c r="O164" s="345">
        <f t="shared" si="106"/>
        <v>237.86170000000001</v>
      </c>
      <c r="P164" s="345">
        <f t="shared" si="106"/>
        <v>237.86170000000001</v>
      </c>
      <c r="Q164" s="345">
        <f t="shared" si="106"/>
        <v>237.86170000000001</v>
      </c>
      <c r="R164" s="345">
        <f t="shared" si="106"/>
        <v>237.86170000000001</v>
      </c>
      <c r="S164" s="345">
        <f t="shared" si="106"/>
        <v>237.86170000000001</v>
      </c>
      <c r="T164" s="345">
        <f t="shared" si="106"/>
        <v>237.86170000000001</v>
      </c>
      <c r="U164" s="354">
        <v>0</v>
      </c>
      <c r="V164" s="342" t="str">
        <f t="shared" si="105"/>
        <v>3.1.31</v>
      </c>
      <c r="W164" s="346"/>
      <c r="X164" s="346"/>
    </row>
    <row r="165" spans="1:24" s="347" customFormat="1" ht="99.75" customHeight="1" x14ac:dyDescent="0.3">
      <c r="A165" s="344" t="s">
        <v>767</v>
      </c>
      <c r="B165" s="353" t="str">
        <f t="shared" si="84"/>
        <v>Реконструкция тепловых сетей (подземной прокладки с выносом на поверхность) в п. Верхний Ландех, ул. Строителей, д.24А , от ТК-4 до ТК-6, L=33,8м, Дн76, надземная прокладка</v>
      </c>
      <c r="C165" s="354">
        <f t="shared" si="84"/>
        <v>748.57833333333338</v>
      </c>
      <c r="D165" s="354">
        <f t="shared" si="84"/>
        <v>0</v>
      </c>
      <c r="E165" s="354">
        <f t="shared" si="84"/>
        <v>748.57833333333338</v>
      </c>
      <c r="F165" s="345">
        <f t="shared" si="40"/>
        <v>748.57833333333349</v>
      </c>
      <c r="G165" s="354">
        <v>0</v>
      </c>
      <c r="H165" s="354">
        <v>0</v>
      </c>
      <c r="I165" s="354">
        <v>0</v>
      </c>
      <c r="J165" s="354">
        <v>0</v>
      </c>
      <c r="K165" s="345">
        <f t="shared" si="99"/>
        <v>74.857833333333332</v>
      </c>
      <c r="L165" s="345">
        <f t="shared" ref="L165:T165" si="107">K165</f>
        <v>74.857833333333332</v>
      </c>
      <c r="M165" s="345">
        <f t="shared" si="107"/>
        <v>74.857833333333332</v>
      </c>
      <c r="N165" s="345">
        <f t="shared" si="107"/>
        <v>74.857833333333332</v>
      </c>
      <c r="O165" s="345">
        <f t="shared" si="107"/>
        <v>74.857833333333332</v>
      </c>
      <c r="P165" s="345">
        <f t="shared" si="107"/>
        <v>74.857833333333332</v>
      </c>
      <c r="Q165" s="345">
        <f t="shared" si="107"/>
        <v>74.857833333333332</v>
      </c>
      <c r="R165" s="345">
        <f t="shared" si="107"/>
        <v>74.857833333333332</v>
      </c>
      <c r="S165" s="345">
        <f t="shared" si="107"/>
        <v>74.857833333333332</v>
      </c>
      <c r="T165" s="345">
        <f t="shared" si="107"/>
        <v>74.857833333333332</v>
      </c>
      <c r="U165" s="354">
        <v>0</v>
      </c>
      <c r="V165" s="342" t="str">
        <f t="shared" si="105"/>
        <v>3.1.32</v>
      </c>
      <c r="W165" s="346"/>
      <c r="X165" s="346"/>
    </row>
    <row r="166" spans="1:24" s="347" customFormat="1" ht="99.75" customHeight="1" x14ac:dyDescent="0.3">
      <c r="A166" s="344" t="s">
        <v>768</v>
      </c>
      <c r="B166" s="353" t="str">
        <f t="shared" ref="B166:E175" si="108">B86</f>
        <v>Реконструкция тепловых сетей (подземной прокладки с выносом на поверхность) в п. Верхний Ландех, ул. Строителей, д. 24А, от ТК-6 до У-1, L=37м, Дн76, надземная прокладка</v>
      </c>
      <c r="C166" s="354">
        <f t="shared" si="108"/>
        <v>819.44799999999998</v>
      </c>
      <c r="D166" s="354">
        <f t="shared" si="108"/>
        <v>0</v>
      </c>
      <c r="E166" s="354">
        <f t="shared" si="108"/>
        <v>819.44799999999998</v>
      </c>
      <c r="F166" s="345">
        <f t="shared" si="40"/>
        <v>819.44799999999998</v>
      </c>
      <c r="G166" s="354">
        <v>0</v>
      </c>
      <c r="H166" s="354">
        <v>0</v>
      </c>
      <c r="I166" s="354">
        <v>0</v>
      </c>
      <c r="J166" s="354">
        <v>0</v>
      </c>
      <c r="K166" s="345">
        <f t="shared" si="99"/>
        <v>81.944800000000001</v>
      </c>
      <c r="L166" s="345">
        <f t="shared" ref="L166:T166" si="109">K166</f>
        <v>81.944800000000001</v>
      </c>
      <c r="M166" s="345">
        <f t="shared" si="109"/>
        <v>81.944800000000001</v>
      </c>
      <c r="N166" s="345">
        <f t="shared" si="109"/>
        <v>81.944800000000001</v>
      </c>
      <c r="O166" s="345">
        <f t="shared" si="109"/>
        <v>81.944800000000001</v>
      </c>
      <c r="P166" s="345">
        <f t="shared" si="109"/>
        <v>81.944800000000001</v>
      </c>
      <c r="Q166" s="345">
        <f t="shared" si="109"/>
        <v>81.944800000000001</v>
      </c>
      <c r="R166" s="345">
        <f t="shared" si="109"/>
        <v>81.944800000000001</v>
      </c>
      <c r="S166" s="345">
        <f t="shared" si="109"/>
        <v>81.944800000000001</v>
      </c>
      <c r="T166" s="345">
        <f t="shared" si="109"/>
        <v>81.944800000000001</v>
      </c>
      <c r="U166" s="354">
        <v>0</v>
      </c>
      <c r="V166" s="342" t="str">
        <f t="shared" si="105"/>
        <v>3.1.33</v>
      </c>
      <c r="W166" s="346"/>
      <c r="X166" s="346"/>
    </row>
    <row r="167" spans="1:24" s="347" customFormat="1" ht="99.75" customHeight="1" x14ac:dyDescent="0.3">
      <c r="A167" s="344" t="s">
        <v>769</v>
      </c>
      <c r="B167" s="353" t="str">
        <f t="shared" si="108"/>
        <v>Реконструкция тепловых сетей (подземной прокладки с выносом на поверхность) в п. Верхний Ландех,  ул. Строителей, д.24А ,от У-2 до ТК-9, L=2м, Дн76, надземная прокладка</v>
      </c>
      <c r="C167" s="354">
        <f t="shared" si="108"/>
        <v>44.294166666666669</v>
      </c>
      <c r="D167" s="354">
        <f t="shared" si="108"/>
        <v>0</v>
      </c>
      <c r="E167" s="354">
        <f t="shared" si="108"/>
        <v>44.294166666666669</v>
      </c>
      <c r="F167" s="345">
        <f t="shared" si="40"/>
        <v>44.294166666666676</v>
      </c>
      <c r="G167" s="354">
        <v>0</v>
      </c>
      <c r="H167" s="354">
        <v>0</v>
      </c>
      <c r="I167" s="354">
        <v>0</v>
      </c>
      <c r="J167" s="354">
        <v>0</v>
      </c>
      <c r="K167" s="345">
        <f t="shared" si="99"/>
        <v>4.4294166666666666</v>
      </c>
      <c r="L167" s="345">
        <f t="shared" ref="L167:T167" si="110">K167</f>
        <v>4.4294166666666666</v>
      </c>
      <c r="M167" s="345">
        <f t="shared" si="110"/>
        <v>4.4294166666666666</v>
      </c>
      <c r="N167" s="345">
        <f t="shared" si="110"/>
        <v>4.4294166666666666</v>
      </c>
      <c r="O167" s="345">
        <f t="shared" si="110"/>
        <v>4.4294166666666666</v>
      </c>
      <c r="P167" s="345">
        <f t="shared" si="110"/>
        <v>4.4294166666666666</v>
      </c>
      <c r="Q167" s="345">
        <f t="shared" si="110"/>
        <v>4.4294166666666666</v>
      </c>
      <c r="R167" s="345">
        <f t="shared" si="110"/>
        <v>4.4294166666666666</v>
      </c>
      <c r="S167" s="345">
        <f t="shared" si="110"/>
        <v>4.4294166666666666</v>
      </c>
      <c r="T167" s="345">
        <f t="shared" si="110"/>
        <v>4.4294166666666666</v>
      </c>
      <c r="U167" s="354">
        <v>0</v>
      </c>
      <c r="V167" s="342" t="str">
        <f t="shared" si="105"/>
        <v>3.1.34</v>
      </c>
      <c r="W167" s="346"/>
      <c r="X167" s="346"/>
    </row>
    <row r="168" spans="1:24" s="347" customFormat="1" ht="99.75" customHeight="1" x14ac:dyDescent="0.3">
      <c r="A168" s="344" t="s">
        <v>770</v>
      </c>
      <c r="B168" s="353" t="str">
        <f t="shared" si="108"/>
        <v>Реконструкция участка сети от ТК-9 до У-3, Дн45 мм длиной 42 м (подземной прокладки с выносом на поверхность) котельная № 3 п. Верхний Ландех, ул. Строителей, д. 24а</v>
      </c>
      <c r="C168" s="354">
        <f t="shared" si="108"/>
        <v>486.01583333333338</v>
      </c>
      <c r="D168" s="354">
        <f t="shared" si="108"/>
        <v>0</v>
      </c>
      <c r="E168" s="354">
        <f t="shared" si="108"/>
        <v>486.01583333333338</v>
      </c>
      <c r="F168" s="345">
        <f t="shared" si="40"/>
        <v>486.01583333333338</v>
      </c>
      <c r="G168" s="354">
        <v>0</v>
      </c>
      <c r="H168" s="354">
        <v>0</v>
      </c>
      <c r="I168" s="354">
        <v>0</v>
      </c>
      <c r="J168" s="354">
        <v>0</v>
      </c>
      <c r="K168" s="345">
        <f t="shared" si="99"/>
        <v>48.601583333333338</v>
      </c>
      <c r="L168" s="345">
        <f t="shared" ref="L168:T168" si="111">K168</f>
        <v>48.601583333333338</v>
      </c>
      <c r="M168" s="345">
        <f t="shared" si="111"/>
        <v>48.601583333333338</v>
      </c>
      <c r="N168" s="345">
        <f t="shared" si="111"/>
        <v>48.601583333333338</v>
      </c>
      <c r="O168" s="345">
        <f t="shared" si="111"/>
        <v>48.601583333333338</v>
      </c>
      <c r="P168" s="345">
        <f t="shared" si="111"/>
        <v>48.601583333333338</v>
      </c>
      <c r="Q168" s="345">
        <f t="shared" si="111"/>
        <v>48.601583333333338</v>
      </c>
      <c r="R168" s="345">
        <f t="shared" si="111"/>
        <v>48.601583333333338</v>
      </c>
      <c r="S168" s="345">
        <f t="shared" si="111"/>
        <v>48.601583333333338</v>
      </c>
      <c r="T168" s="345">
        <f t="shared" si="111"/>
        <v>48.601583333333338</v>
      </c>
      <c r="U168" s="354">
        <v>0</v>
      </c>
      <c r="V168" s="342" t="str">
        <f t="shared" si="105"/>
        <v>3.1.35</v>
      </c>
      <c r="W168" s="346"/>
      <c r="X168" s="346"/>
    </row>
    <row r="169" spans="1:24" s="347" customFormat="1" ht="99.75" customHeight="1" x14ac:dyDescent="0.3">
      <c r="A169" s="344" t="s">
        <v>771</v>
      </c>
      <c r="B169" s="353" t="str">
        <f t="shared" si="108"/>
        <v>Реконструкция тепловых сетей (подземной прокладки с выносом на поверхность) в п. Верхний Ландех, ул. Строителей, д.24А , от ТК-14 до ул. Строителей, д.20, L=16,1м, Ду80, надземная прокладка</v>
      </c>
      <c r="C169" s="354">
        <f t="shared" si="108"/>
        <v>356.57083333333333</v>
      </c>
      <c r="D169" s="354">
        <f t="shared" si="108"/>
        <v>0</v>
      </c>
      <c r="E169" s="354">
        <f t="shared" si="108"/>
        <v>356.57083333333333</v>
      </c>
      <c r="F169" s="345">
        <f t="shared" si="40"/>
        <v>356.57083333333333</v>
      </c>
      <c r="G169" s="354">
        <v>0</v>
      </c>
      <c r="H169" s="354">
        <v>0</v>
      </c>
      <c r="I169" s="354">
        <v>0</v>
      </c>
      <c r="J169" s="354">
        <v>0</v>
      </c>
      <c r="K169" s="345">
        <f t="shared" si="99"/>
        <v>35.657083333333333</v>
      </c>
      <c r="L169" s="345">
        <f t="shared" ref="L169:T169" si="112">K169</f>
        <v>35.657083333333333</v>
      </c>
      <c r="M169" s="345">
        <f t="shared" si="112"/>
        <v>35.657083333333333</v>
      </c>
      <c r="N169" s="345">
        <f t="shared" si="112"/>
        <v>35.657083333333333</v>
      </c>
      <c r="O169" s="345">
        <f t="shared" si="112"/>
        <v>35.657083333333333</v>
      </c>
      <c r="P169" s="345">
        <f t="shared" si="112"/>
        <v>35.657083333333333</v>
      </c>
      <c r="Q169" s="345">
        <f t="shared" si="112"/>
        <v>35.657083333333333</v>
      </c>
      <c r="R169" s="345">
        <f t="shared" si="112"/>
        <v>35.657083333333333</v>
      </c>
      <c r="S169" s="345">
        <f t="shared" si="112"/>
        <v>35.657083333333333</v>
      </c>
      <c r="T169" s="345">
        <f t="shared" si="112"/>
        <v>35.657083333333333</v>
      </c>
      <c r="U169" s="354">
        <v>0</v>
      </c>
      <c r="V169" s="342" t="str">
        <f t="shared" si="105"/>
        <v>3.1.36</v>
      </c>
      <c r="W169" s="346"/>
      <c r="X169" s="346"/>
    </row>
    <row r="170" spans="1:24" s="347" customFormat="1" ht="99.75" customHeight="1" x14ac:dyDescent="0.3">
      <c r="A170" s="344" t="s">
        <v>772</v>
      </c>
      <c r="B170" s="353" t="str">
        <f t="shared" si="108"/>
        <v>Реконструкция тепловых сетей (подземной прокладки с выносом на поверхность) в п. Верхний Ландех, ул. Строителей, д.24А , от ТК-14 до ТК-15, L=37м, Ду100, надземная прокладка</v>
      </c>
      <c r="C170" s="354">
        <f t="shared" si="108"/>
        <v>843.05583333333334</v>
      </c>
      <c r="D170" s="354">
        <f t="shared" si="108"/>
        <v>0</v>
      </c>
      <c r="E170" s="354">
        <f t="shared" si="108"/>
        <v>843.05583333333334</v>
      </c>
      <c r="F170" s="345">
        <f t="shared" ref="F170:F199" si="113">SUM(G170:U170)</f>
        <v>843.05583333333323</v>
      </c>
      <c r="G170" s="354">
        <v>0</v>
      </c>
      <c r="H170" s="354">
        <v>0</v>
      </c>
      <c r="I170" s="354">
        <v>0</v>
      </c>
      <c r="J170" s="354">
        <v>0</v>
      </c>
      <c r="K170" s="345">
        <f t="shared" si="99"/>
        <v>84.305583333333331</v>
      </c>
      <c r="L170" s="345">
        <f t="shared" ref="L170:T170" si="114">K170</f>
        <v>84.305583333333331</v>
      </c>
      <c r="M170" s="345">
        <f t="shared" si="114"/>
        <v>84.305583333333331</v>
      </c>
      <c r="N170" s="345">
        <f t="shared" si="114"/>
        <v>84.305583333333331</v>
      </c>
      <c r="O170" s="345">
        <f t="shared" si="114"/>
        <v>84.305583333333331</v>
      </c>
      <c r="P170" s="345">
        <f t="shared" si="114"/>
        <v>84.305583333333331</v>
      </c>
      <c r="Q170" s="345">
        <f t="shared" si="114"/>
        <v>84.305583333333331</v>
      </c>
      <c r="R170" s="345">
        <f t="shared" si="114"/>
        <v>84.305583333333331</v>
      </c>
      <c r="S170" s="345">
        <f t="shared" si="114"/>
        <v>84.305583333333331</v>
      </c>
      <c r="T170" s="345">
        <f t="shared" si="114"/>
        <v>84.305583333333331</v>
      </c>
      <c r="U170" s="354">
        <v>0</v>
      </c>
      <c r="V170" s="342" t="str">
        <f t="shared" si="105"/>
        <v>3.1.37</v>
      </c>
      <c r="W170" s="346"/>
      <c r="X170" s="346"/>
    </row>
    <row r="171" spans="1:24" s="347" customFormat="1" ht="99.75" customHeight="1" x14ac:dyDescent="0.3">
      <c r="A171" s="344" t="s">
        <v>773</v>
      </c>
      <c r="B171" s="353" t="str">
        <f t="shared" si="108"/>
        <v>Реконструкция тепловых сетей (подземной прокладки с выносом на поверхность) в п. Верхний Ландех, ул. Строителей, д.24А , от ТК-15 до ул. Строителей, д.22, L=23,5 м, Ду80, надземная прокладка</v>
      </c>
      <c r="C171" s="354">
        <f t="shared" si="108"/>
        <v>520.46083333333331</v>
      </c>
      <c r="D171" s="354">
        <f t="shared" si="108"/>
        <v>0</v>
      </c>
      <c r="E171" s="354">
        <f t="shared" si="108"/>
        <v>520.46083333333331</v>
      </c>
      <c r="F171" s="345">
        <f t="shared" si="113"/>
        <v>520.46083333333331</v>
      </c>
      <c r="G171" s="354">
        <v>0</v>
      </c>
      <c r="H171" s="354">
        <v>0</v>
      </c>
      <c r="I171" s="354">
        <v>0</v>
      </c>
      <c r="J171" s="354">
        <v>0</v>
      </c>
      <c r="K171" s="345">
        <f t="shared" si="99"/>
        <v>52.046083333333328</v>
      </c>
      <c r="L171" s="345">
        <f t="shared" ref="L171:T171" si="115">K171</f>
        <v>52.046083333333328</v>
      </c>
      <c r="M171" s="345">
        <f t="shared" si="115"/>
        <v>52.046083333333328</v>
      </c>
      <c r="N171" s="345">
        <f t="shared" si="115"/>
        <v>52.046083333333328</v>
      </c>
      <c r="O171" s="345">
        <f t="shared" si="115"/>
        <v>52.046083333333328</v>
      </c>
      <c r="P171" s="345">
        <f t="shared" si="115"/>
        <v>52.046083333333328</v>
      </c>
      <c r="Q171" s="345">
        <f t="shared" si="115"/>
        <v>52.046083333333328</v>
      </c>
      <c r="R171" s="345">
        <f t="shared" si="115"/>
        <v>52.046083333333328</v>
      </c>
      <c r="S171" s="345">
        <f t="shared" si="115"/>
        <v>52.046083333333328</v>
      </c>
      <c r="T171" s="345">
        <f t="shared" si="115"/>
        <v>52.046083333333328</v>
      </c>
      <c r="U171" s="354">
        <v>0</v>
      </c>
      <c r="V171" s="342" t="str">
        <f>V91</f>
        <v>3.1.38</v>
      </c>
      <c r="W171" s="346"/>
      <c r="X171" s="346"/>
    </row>
    <row r="172" spans="1:24" s="347" customFormat="1" ht="99.75" customHeight="1" x14ac:dyDescent="0.3">
      <c r="A172" s="344" t="s">
        <v>774</v>
      </c>
      <c r="B172" s="353" t="str">
        <f t="shared" si="108"/>
        <v>Реконструкция тепловых сетей в п. Верхний Ландех, ул. Строителей, д. 24А ,от ТК-15 до ул. Строителей, д. 21, L=16,3м, Ду80, надземная прокладка</v>
      </c>
      <c r="C172" s="354">
        <f t="shared" si="108"/>
        <v>361.00083333333339</v>
      </c>
      <c r="D172" s="354">
        <f t="shared" si="108"/>
        <v>0</v>
      </c>
      <c r="E172" s="354">
        <f t="shared" si="108"/>
        <v>361.00083333333339</v>
      </c>
      <c r="F172" s="345">
        <f t="shared" si="113"/>
        <v>361.00083333333333</v>
      </c>
      <c r="G172" s="354">
        <v>0</v>
      </c>
      <c r="H172" s="354">
        <v>0</v>
      </c>
      <c r="I172" s="354">
        <v>0</v>
      </c>
      <c r="J172" s="354">
        <v>0</v>
      </c>
      <c r="K172" s="345">
        <f t="shared" si="99"/>
        <v>36.100083333333338</v>
      </c>
      <c r="L172" s="345">
        <f t="shared" ref="L172:T172" si="116">K172</f>
        <v>36.100083333333338</v>
      </c>
      <c r="M172" s="345">
        <f t="shared" si="116"/>
        <v>36.100083333333338</v>
      </c>
      <c r="N172" s="345">
        <f t="shared" si="116"/>
        <v>36.100083333333338</v>
      </c>
      <c r="O172" s="345">
        <f t="shared" si="116"/>
        <v>36.100083333333338</v>
      </c>
      <c r="P172" s="345">
        <f t="shared" si="116"/>
        <v>36.100083333333338</v>
      </c>
      <c r="Q172" s="345">
        <f t="shared" si="116"/>
        <v>36.100083333333338</v>
      </c>
      <c r="R172" s="345">
        <f t="shared" si="116"/>
        <v>36.100083333333338</v>
      </c>
      <c r="S172" s="345">
        <f t="shared" si="116"/>
        <v>36.100083333333338</v>
      </c>
      <c r="T172" s="345">
        <f t="shared" si="116"/>
        <v>36.100083333333338</v>
      </c>
      <c r="U172" s="354">
        <v>0</v>
      </c>
      <c r="V172" s="342" t="str">
        <f>V92</f>
        <v>3.1.39</v>
      </c>
      <c r="W172" s="346"/>
      <c r="X172" s="346"/>
    </row>
    <row r="173" spans="1:24" s="347" customFormat="1" ht="99.75" customHeight="1" x14ac:dyDescent="0.3">
      <c r="A173" s="344" t="s">
        <v>775</v>
      </c>
      <c r="B173" s="353" t="str">
        <f t="shared" si="108"/>
        <v>Реконструкция тепловых сетей (подземной прокладки с выносом на поверхность) в п. Верхний Ландех, ул. Строителей, д.24А , от У-10А до ТК-14, L=12м, Ду100, надземная прокладка</v>
      </c>
      <c r="C173" s="354">
        <f t="shared" si="108"/>
        <v>273.42599999999999</v>
      </c>
      <c r="D173" s="354">
        <f t="shared" si="108"/>
        <v>0</v>
      </c>
      <c r="E173" s="354">
        <f t="shared" si="108"/>
        <v>273.42599999999999</v>
      </c>
      <c r="F173" s="345">
        <f t="shared" si="113"/>
        <v>273.42599999999999</v>
      </c>
      <c r="G173" s="354">
        <v>0</v>
      </c>
      <c r="H173" s="354">
        <v>0</v>
      </c>
      <c r="I173" s="354">
        <v>0</v>
      </c>
      <c r="J173" s="354">
        <v>0</v>
      </c>
      <c r="K173" s="345">
        <f t="shared" si="99"/>
        <v>27.342599999999997</v>
      </c>
      <c r="L173" s="345">
        <f t="shared" ref="L173:T173" si="117">K173</f>
        <v>27.342599999999997</v>
      </c>
      <c r="M173" s="345">
        <f t="shared" si="117"/>
        <v>27.342599999999997</v>
      </c>
      <c r="N173" s="345">
        <f t="shared" si="117"/>
        <v>27.342599999999997</v>
      </c>
      <c r="O173" s="345">
        <f t="shared" si="117"/>
        <v>27.342599999999997</v>
      </c>
      <c r="P173" s="345">
        <f t="shared" si="117"/>
        <v>27.342599999999997</v>
      </c>
      <c r="Q173" s="345">
        <f t="shared" si="117"/>
        <v>27.342599999999997</v>
      </c>
      <c r="R173" s="345">
        <f t="shared" si="117"/>
        <v>27.342599999999997</v>
      </c>
      <c r="S173" s="345">
        <f t="shared" si="117"/>
        <v>27.342599999999997</v>
      </c>
      <c r="T173" s="345">
        <f t="shared" si="117"/>
        <v>27.342599999999997</v>
      </c>
      <c r="U173" s="354">
        <v>0</v>
      </c>
      <c r="V173" s="342" t="str">
        <f>V93</f>
        <v>3.1.40</v>
      </c>
      <c r="W173" s="346"/>
      <c r="X173" s="346"/>
    </row>
    <row r="174" spans="1:24" s="347" customFormat="1" ht="99.75" customHeight="1" x14ac:dyDescent="0.3">
      <c r="A174" s="344" t="s">
        <v>776</v>
      </c>
      <c r="B174" s="353" t="str">
        <f t="shared" si="108"/>
        <v>Реконструкция тепловых сетей в п. Верхний Ландех, от У-1 до У-2, L=11м, Ду80, надземная прокладка</v>
      </c>
      <c r="C174" s="354">
        <f t="shared" si="108"/>
        <v>243.62</v>
      </c>
      <c r="D174" s="354">
        <f t="shared" si="108"/>
        <v>0</v>
      </c>
      <c r="E174" s="354">
        <f t="shared" si="108"/>
        <v>243.62</v>
      </c>
      <c r="F174" s="345">
        <f t="shared" si="113"/>
        <v>243.61999999999998</v>
      </c>
      <c r="G174" s="354">
        <v>0</v>
      </c>
      <c r="H174" s="354">
        <v>0</v>
      </c>
      <c r="I174" s="354">
        <v>0</v>
      </c>
      <c r="J174" s="354">
        <v>0</v>
      </c>
      <c r="K174" s="345">
        <f t="shared" si="99"/>
        <v>24.362000000000002</v>
      </c>
      <c r="L174" s="345">
        <f t="shared" ref="L174:T174" si="118">K174</f>
        <v>24.362000000000002</v>
      </c>
      <c r="M174" s="345">
        <f t="shared" si="118"/>
        <v>24.362000000000002</v>
      </c>
      <c r="N174" s="345">
        <f t="shared" si="118"/>
        <v>24.362000000000002</v>
      </c>
      <c r="O174" s="345">
        <f t="shared" si="118"/>
        <v>24.362000000000002</v>
      </c>
      <c r="P174" s="345">
        <f t="shared" si="118"/>
        <v>24.362000000000002</v>
      </c>
      <c r="Q174" s="345">
        <f t="shared" si="118"/>
        <v>24.362000000000002</v>
      </c>
      <c r="R174" s="345">
        <f t="shared" si="118"/>
        <v>24.362000000000002</v>
      </c>
      <c r="S174" s="345">
        <f t="shared" si="118"/>
        <v>24.362000000000002</v>
      </c>
      <c r="T174" s="345">
        <f t="shared" si="118"/>
        <v>24.362000000000002</v>
      </c>
      <c r="U174" s="354">
        <v>0</v>
      </c>
      <c r="V174" s="342" t="str">
        <f>V94</f>
        <v>3.1.41</v>
      </c>
      <c r="W174" s="346"/>
      <c r="X174" s="346"/>
    </row>
    <row r="175" spans="1:24" s="347" customFormat="1" ht="99.75" customHeight="1" x14ac:dyDescent="0.3">
      <c r="A175" s="344" t="s">
        <v>777</v>
      </c>
      <c r="B175" s="353" t="str">
        <f t="shared" si="108"/>
        <v>Реконструкция тепловых сетей (подземной прокладки с выносом на поверхность) в п. Верхний Ландех, от У-2 до У-4, L=24,5м, Ду80, надземная прокладка</v>
      </c>
      <c r="C175" s="354">
        <f t="shared" si="108"/>
        <v>542.60833333333335</v>
      </c>
      <c r="D175" s="354">
        <f t="shared" si="108"/>
        <v>0</v>
      </c>
      <c r="E175" s="354">
        <f t="shared" si="108"/>
        <v>542.60833333333335</v>
      </c>
      <c r="F175" s="345">
        <f t="shared" si="113"/>
        <v>542.60833333333335</v>
      </c>
      <c r="G175" s="354">
        <v>0</v>
      </c>
      <c r="H175" s="354">
        <v>0</v>
      </c>
      <c r="I175" s="354">
        <v>0</v>
      </c>
      <c r="J175" s="354">
        <v>0</v>
      </c>
      <c r="K175" s="345">
        <f t="shared" si="99"/>
        <v>54.260833333333338</v>
      </c>
      <c r="L175" s="345">
        <f t="shared" ref="L175:T175" si="119">K175</f>
        <v>54.260833333333338</v>
      </c>
      <c r="M175" s="345">
        <f t="shared" si="119"/>
        <v>54.260833333333338</v>
      </c>
      <c r="N175" s="345">
        <f t="shared" si="119"/>
        <v>54.260833333333338</v>
      </c>
      <c r="O175" s="345">
        <f t="shared" si="119"/>
        <v>54.260833333333338</v>
      </c>
      <c r="P175" s="345">
        <f t="shared" si="119"/>
        <v>54.260833333333338</v>
      </c>
      <c r="Q175" s="345">
        <f t="shared" si="119"/>
        <v>54.260833333333338</v>
      </c>
      <c r="R175" s="345">
        <f t="shared" si="119"/>
        <v>54.260833333333338</v>
      </c>
      <c r="S175" s="345">
        <f t="shared" si="119"/>
        <v>54.260833333333338</v>
      </c>
      <c r="T175" s="345">
        <f t="shared" si="119"/>
        <v>54.260833333333338</v>
      </c>
      <c r="U175" s="354">
        <v>0</v>
      </c>
      <c r="V175" s="342" t="str">
        <f>V95</f>
        <v>3.1.42</v>
      </c>
      <c r="W175" s="346"/>
      <c r="X175" s="346"/>
    </row>
    <row r="176" spans="1:24" s="347" customFormat="1" ht="99.75" customHeight="1" x14ac:dyDescent="0.3">
      <c r="A176" s="344" t="s">
        <v>778</v>
      </c>
      <c r="B176" s="353" t="str">
        <f>'№2 ИП ТС'!B115</f>
        <v>Вывод из эксплуатации существующего надземного участка тепловой сети в п. Верхний Ландех, ул.  Новая, 1А от У-33 до ул. Рабочая, д. 4,  D-32 мм L= 13,40 м в двухтрубном исполнении</v>
      </c>
      <c r="C176" s="354">
        <v>0</v>
      </c>
      <c r="D176" s="354">
        <v>0</v>
      </c>
      <c r="E176" s="354">
        <v>0</v>
      </c>
      <c r="F176" s="345">
        <f t="shared" si="113"/>
        <v>0</v>
      </c>
      <c r="G176" s="354">
        <v>0</v>
      </c>
      <c r="H176" s="354">
        <v>0</v>
      </c>
      <c r="I176" s="354">
        <v>0</v>
      </c>
      <c r="J176" s="354">
        <v>0</v>
      </c>
      <c r="K176" s="354">
        <v>0</v>
      </c>
      <c r="L176" s="354">
        <v>0</v>
      </c>
      <c r="M176" s="354">
        <v>0</v>
      </c>
      <c r="N176" s="354">
        <v>0</v>
      </c>
      <c r="O176" s="354">
        <v>0</v>
      </c>
      <c r="P176" s="354">
        <v>0</v>
      </c>
      <c r="Q176" s="354">
        <v>0</v>
      </c>
      <c r="R176" s="354">
        <v>0</v>
      </c>
      <c r="S176" s="354">
        <v>0</v>
      </c>
      <c r="T176" s="354">
        <v>0</v>
      </c>
      <c r="U176" s="354">
        <v>0</v>
      </c>
      <c r="V176" s="342" t="str">
        <f>'№2 ИП ТС'!A115</f>
        <v>5.1.1</v>
      </c>
      <c r="W176" s="346"/>
      <c r="X176" s="346"/>
    </row>
    <row r="177" spans="1:24" s="347" customFormat="1" ht="99.75" customHeight="1" x14ac:dyDescent="0.3">
      <c r="A177" s="344" t="s">
        <v>779</v>
      </c>
      <c r="B177" s="353" t="str">
        <f>'№2 ИП ТС'!B116</f>
        <v>Вывод из эксплуатации существующего подземного участка тепловой сети в п. Верхний Ландех, ул. Новая, 1А от У-32 до У-33, D-32 мм L= 20,50 м в двухтрубном исполнении</v>
      </c>
      <c r="C177" s="354">
        <v>0</v>
      </c>
      <c r="D177" s="354">
        <v>0</v>
      </c>
      <c r="E177" s="354">
        <v>0</v>
      </c>
      <c r="F177" s="345">
        <f t="shared" si="113"/>
        <v>0</v>
      </c>
      <c r="G177" s="354">
        <v>0</v>
      </c>
      <c r="H177" s="354">
        <v>0</v>
      </c>
      <c r="I177" s="354">
        <v>0</v>
      </c>
      <c r="J177" s="354">
        <v>0</v>
      </c>
      <c r="K177" s="354">
        <v>0</v>
      </c>
      <c r="L177" s="354">
        <v>0</v>
      </c>
      <c r="M177" s="354">
        <v>0</v>
      </c>
      <c r="N177" s="354">
        <v>0</v>
      </c>
      <c r="O177" s="354">
        <v>0</v>
      </c>
      <c r="P177" s="354">
        <v>0</v>
      </c>
      <c r="Q177" s="354">
        <v>0</v>
      </c>
      <c r="R177" s="354">
        <v>0</v>
      </c>
      <c r="S177" s="354">
        <v>0</v>
      </c>
      <c r="T177" s="354">
        <v>0</v>
      </c>
      <c r="U177" s="354">
        <v>0</v>
      </c>
      <c r="V177" s="342" t="str">
        <f>'№2 ИП ТС'!A116</f>
        <v>5.1.2</v>
      </c>
      <c r="W177" s="346"/>
      <c r="X177" s="346"/>
    </row>
    <row r="178" spans="1:24" s="347" customFormat="1" ht="99.75" customHeight="1" x14ac:dyDescent="0.3">
      <c r="A178" s="344" t="s">
        <v>780</v>
      </c>
      <c r="B178" s="353" t="str">
        <f>'№2 ИП ТС'!B117</f>
        <v>Вывод из эксплуатации существующего подземного участка тепловой сети в п. Верхний Ландех, ул. Новая, 1А от ТК-6 до Рабочая ул., д. 5,  D-45 мм L= 5,00 м в двухтрубном исполнении</v>
      </c>
      <c r="C178" s="354">
        <v>0</v>
      </c>
      <c r="D178" s="354">
        <v>0</v>
      </c>
      <c r="E178" s="354">
        <v>0</v>
      </c>
      <c r="F178" s="345">
        <f t="shared" si="113"/>
        <v>0</v>
      </c>
      <c r="G178" s="354">
        <v>0</v>
      </c>
      <c r="H178" s="354">
        <v>0</v>
      </c>
      <c r="I178" s="354">
        <v>0</v>
      </c>
      <c r="J178" s="354">
        <v>0</v>
      </c>
      <c r="K178" s="354">
        <v>0</v>
      </c>
      <c r="L178" s="354">
        <v>0</v>
      </c>
      <c r="M178" s="354">
        <v>0</v>
      </c>
      <c r="N178" s="354">
        <v>0</v>
      </c>
      <c r="O178" s="354">
        <v>0</v>
      </c>
      <c r="P178" s="354">
        <v>0</v>
      </c>
      <c r="Q178" s="354">
        <v>0</v>
      </c>
      <c r="R178" s="354">
        <v>0</v>
      </c>
      <c r="S178" s="354">
        <v>0</v>
      </c>
      <c r="T178" s="354">
        <v>0</v>
      </c>
      <c r="U178" s="354">
        <v>0</v>
      </c>
      <c r="V178" s="342" t="str">
        <f>'№2 ИП ТС'!A117</f>
        <v>5.1.3</v>
      </c>
      <c r="W178" s="346"/>
      <c r="X178" s="346"/>
    </row>
    <row r="179" spans="1:24" s="347" customFormat="1" ht="99.75" customHeight="1" x14ac:dyDescent="0.3">
      <c r="A179" s="344" t="s">
        <v>781</v>
      </c>
      <c r="B179" s="353" t="str">
        <f>'№2 ИП ТС'!B118</f>
        <v>Вывод из эксплуатации существующего подземного участка тепловой сети в п. Верхний Ландех, ул. Новая, 1А от ТК-8 до Рабочая ул., д. 6,  D-57 мм L= 17,20 м в двухтрубном исполнении</v>
      </c>
      <c r="C179" s="354">
        <v>0</v>
      </c>
      <c r="D179" s="354">
        <v>0</v>
      </c>
      <c r="E179" s="354">
        <v>0</v>
      </c>
      <c r="F179" s="345">
        <f t="shared" si="113"/>
        <v>0</v>
      </c>
      <c r="G179" s="354">
        <v>0</v>
      </c>
      <c r="H179" s="354">
        <v>0</v>
      </c>
      <c r="I179" s="354">
        <v>0</v>
      </c>
      <c r="J179" s="354">
        <v>0</v>
      </c>
      <c r="K179" s="354">
        <v>0</v>
      </c>
      <c r="L179" s="354">
        <v>0</v>
      </c>
      <c r="M179" s="354">
        <v>0</v>
      </c>
      <c r="N179" s="354">
        <v>0</v>
      </c>
      <c r="O179" s="354">
        <v>0</v>
      </c>
      <c r="P179" s="354">
        <v>0</v>
      </c>
      <c r="Q179" s="354">
        <v>0</v>
      </c>
      <c r="R179" s="354">
        <v>0</v>
      </c>
      <c r="S179" s="354">
        <v>0</v>
      </c>
      <c r="T179" s="354">
        <v>0</v>
      </c>
      <c r="U179" s="354">
        <v>0</v>
      </c>
      <c r="V179" s="342" t="str">
        <f>'№2 ИП ТС'!A118</f>
        <v>5.1.4</v>
      </c>
      <c r="W179" s="346"/>
      <c r="X179" s="346"/>
    </row>
    <row r="180" spans="1:24" s="347" customFormat="1" ht="99" customHeight="1" x14ac:dyDescent="0.3">
      <c r="A180" s="344" t="s">
        <v>782</v>
      </c>
      <c r="B180" s="353" t="str">
        <f>'№2 ИП ТС'!B119</f>
        <v>Вывод из эксплуатации существующего надземного участка тепловой сети в п. Верхний Ландех, ул. Новая, 1А от Котельная № 1 до У-1,  D-150 мм L= 5,60 м в двухтрубном исполнении</v>
      </c>
      <c r="C180" s="354">
        <v>0</v>
      </c>
      <c r="D180" s="354">
        <v>0</v>
      </c>
      <c r="E180" s="354">
        <v>0</v>
      </c>
      <c r="F180" s="345">
        <f t="shared" si="113"/>
        <v>0</v>
      </c>
      <c r="G180" s="354">
        <v>0</v>
      </c>
      <c r="H180" s="354">
        <v>0</v>
      </c>
      <c r="I180" s="354">
        <v>0</v>
      </c>
      <c r="J180" s="354">
        <v>0</v>
      </c>
      <c r="K180" s="354">
        <v>0</v>
      </c>
      <c r="L180" s="354">
        <v>0</v>
      </c>
      <c r="M180" s="354">
        <v>0</v>
      </c>
      <c r="N180" s="354">
        <v>0</v>
      </c>
      <c r="O180" s="354">
        <v>0</v>
      </c>
      <c r="P180" s="354">
        <v>0</v>
      </c>
      <c r="Q180" s="354">
        <v>0</v>
      </c>
      <c r="R180" s="354">
        <v>0</v>
      </c>
      <c r="S180" s="354">
        <v>0</v>
      </c>
      <c r="T180" s="354">
        <v>0</v>
      </c>
      <c r="U180" s="354">
        <v>0</v>
      </c>
      <c r="V180" s="342" t="str">
        <f>'№2 ИП ТС'!A119</f>
        <v>5.1.5</v>
      </c>
      <c r="W180" s="346"/>
      <c r="X180" s="346"/>
    </row>
    <row r="181" spans="1:24" s="347" customFormat="1" ht="99" customHeight="1" x14ac:dyDescent="0.3">
      <c r="A181" s="344" t="s">
        <v>783</v>
      </c>
      <c r="B181" s="353" t="str">
        <f>'№2 ИП ТС'!B120</f>
        <v>Вывод из эксплуатации существующего надземного участка тепловой сети в п. Верхний Ландех, ул. Новая 1А от У-1 до У-2,  D-159 мм L= 5,00 м в двухтрубном исполнении</v>
      </c>
      <c r="C181" s="354">
        <v>0</v>
      </c>
      <c r="D181" s="354">
        <v>0</v>
      </c>
      <c r="E181" s="354">
        <v>0</v>
      </c>
      <c r="F181" s="345">
        <f t="shared" si="113"/>
        <v>0</v>
      </c>
      <c r="G181" s="354">
        <v>0</v>
      </c>
      <c r="H181" s="354">
        <v>0</v>
      </c>
      <c r="I181" s="354">
        <v>0</v>
      </c>
      <c r="J181" s="354">
        <v>0</v>
      </c>
      <c r="K181" s="354">
        <v>0</v>
      </c>
      <c r="L181" s="354">
        <v>0</v>
      </c>
      <c r="M181" s="354">
        <v>0</v>
      </c>
      <c r="N181" s="354">
        <v>0</v>
      </c>
      <c r="O181" s="354">
        <v>0</v>
      </c>
      <c r="P181" s="354">
        <v>0</v>
      </c>
      <c r="Q181" s="354">
        <v>0</v>
      </c>
      <c r="R181" s="354">
        <v>0</v>
      </c>
      <c r="S181" s="354">
        <v>0</v>
      </c>
      <c r="T181" s="354">
        <v>0</v>
      </c>
      <c r="U181" s="354">
        <v>0</v>
      </c>
      <c r="V181" s="342" t="str">
        <f>'№2 ИП ТС'!A120</f>
        <v>5.1.6</v>
      </c>
      <c r="W181" s="346"/>
      <c r="X181" s="346"/>
    </row>
    <row r="182" spans="1:24" s="347" customFormat="1" ht="99" customHeight="1" x14ac:dyDescent="0.3">
      <c r="A182" s="344" t="s">
        <v>784</v>
      </c>
      <c r="B182" s="353" t="str">
        <f>'№2 ИП ТС'!B121</f>
        <v>Вывод из эксплуатации существующего подземного участка тепловой сети от У-2 до ТК-1,  D-76 мм L= 4,50 м в двухтрубном исполнении</v>
      </c>
      <c r="C182" s="354">
        <v>0</v>
      </c>
      <c r="D182" s="354">
        <v>0</v>
      </c>
      <c r="E182" s="354">
        <v>0</v>
      </c>
      <c r="F182" s="345">
        <f t="shared" si="113"/>
        <v>0</v>
      </c>
      <c r="G182" s="354">
        <v>0</v>
      </c>
      <c r="H182" s="354">
        <v>0</v>
      </c>
      <c r="I182" s="354">
        <v>0</v>
      </c>
      <c r="J182" s="354">
        <v>0</v>
      </c>
      <c r="K182" s="354">
        <v>0</v>
      </c>
      <c r="L182" s="354">
        <v>0</v>
      </c>
      <c r="M182" s="354">
        <v>0</v>
      </c>
      <c r="N182" s="354">
        <v>0</v>
      </c>
      <c r="O182" s="354">
        <v>0</v>
      </c>
      <c r="P182" s="354">
        <v>0</v>
      </c>
      <c r="Q182" s="354">
        <v>0</v>
      </c>
      <c r="R182" s="354">
        <v>0</v>
      </c>
      <c r="S182" s="354">
        <v>0</v>
      </c>
      <c r="T182" s="354">
        <v>0</v>
      </c>
      <c r="U182" s="354">
        <v>0</v>
      </c>
      <c r="V182" s="342" t="str">
        <f>'№2 ИП ТС'!A121</f>
        <v>5.1.7</v>
      </c>
      <c r="W182" s="346"/>
      <c r="X182" s="346"/>
    </row>
    <row r="183" spans="1:24" s="347" customFormat="1" ht="99" customHeight="1" x14ac:dyDescent="0.3">
      <c r="A183" s="344" t="s">
        <v>785</v>
      </c>
      <c r="B183" s="353" t="str">
        <f>'№2 ИП ТС'!B122</f>
        <v>Вывод из эксплуатации существующего подземного участка тепловой сети от ТК-2 до Малыгина ул., д.20,  D-76 мм L= 85,00 м в двухтрубном исполнении</v>
      </c>
      <c r="C183" s="354">
        <v>0</v>
      </c>
      <c r="D183" s="354">
        <v>0</v>
      </c>
      <c r="E183" s="354">
        <v>0</v>
      </c>
      <c r="F183" s="345">
        <f t="shared" si="113"/>
        <v>0</v>
      </c>
      <c r="G183" s="354">
        <v>0</v>
      </c>
      <c r="H183" s="354">
        <v>0</v>
      </c>
      <c r="I183" s="354">
        <v>0</v>
      </c>
      <c r="J183" s="354">
        <v>0</v>
      </c>
      <c r="K183" s="354">
        <v>0</v>
      </c>
      <c r="L183" s="354">
        <v>0</v>
      </c>
      <c r="M183" s="354">
        <v>0</v>
      </c>
      <c r="N183" s="354">
        <v>0</v>
      </c>
      <c r="O183" s="354">
        <v>0</v>
      </c>
      <c r="P183" s="354">
        <v>0</v>
      </c>
      <c r="Q183" s="354">
        <v>0</v>
      </c>
      <c r="R183" s="354">
        <v>0</v>
      </c>
      <c r="S183" s="354">
        <v>0</v>
      </c>
      <c r="T183" s="354">
        <v>0</v>
      </c>
      <c r="U183" s="354">
        <v>0</v>
      </c>
      <c r="V183" s="342" t="str">
        <f>'№2 ИП ТС'!A122</f>
        <v>5.1.8</v>
      </c>
      <c r="W183" s="346"/>
      <c r="X183" s="346"/>
    </row>
    <row r="184" spans="1:24" s="347" customFormat="1" ht="99" customHeight="1" x14ac:dyDescent="0.3">
      <c r="A184" s="344" t="s">
        <v>786</v>
      </c>
      <c r="B184" s="353" t="str">
        <f>'№2 ИП ТС'!B123</f>
        <v>Вывод из эксплуатации существующего подземного участка тепловой сети в п. Верхний Ландех, ул. Новая, 1А от ТК-1 до ТК-2,  D-57 мм L= 93,50 м в двухтрубном исполнении</v>
      </c>
      <c r="C184" s="354">
        <v>0</v>
      </c>
      <c r="D184" s="354">
        <v>0</v>
      </c>
      <c r="E184" s="354">
        <v>0</v>
      </c>
      <c r="F184" s="345">
        <f t="shared" si="113"/>
        <v>0</v>
      </c>
      <c r="G184" s="354">
        <v>0</v>
      </c>
      <c r="H184" s="354">
        <v>0</v>
      </c>
      <c r="I184" s="354">
        <v>0</v>
      </c>
      <c r="J184" s="354">
        <v>0</v>
      </c>
      <c r="K184" s="354">
        <v>0</v>
      </c>
      <c r="L184" s="354">
        <v>0</v>
      </c>
      <c r="M184" s="354">
        <v>0</v>
      </c>
      <c r="N184" s="354">
        <v>0</v>
      </c>
      <c r="O184" s="354">
        <v>0</v>
      </c>
      <c r="P184" s="354">
        <v>0</v>
      </c>
      <c r="Q184" s="354">
        <v>0</v>
      </c>
      <c r="R184" s="354">
        <v>0</v>
      </c>
      <c r="S184" s="354">
        <v>0</v>
      </c>
      <c r="T184" s="354">
        <v>0</v>
      </c>
      <c r="U184" s="354">
        <v>0</v>
      </c>
      <c r="V184" s="342" t="str">
        <f>'№2 ИП ТС'!A123</f>
        <v>5.1.9</v>
      </c>
      <c r="W184" s="346"/>
      <c r="X184" s="346"/>
    </row>
    <row r="185" spans="1:24" s="347" customFormat="1" ht="99" customHeight="1" x14ac:dyDescent="0.3">
      <c r="A185" s="344" t="s">
        <v>787</v>
      </c>
      <c r="B185" s="353" t="str">
        <f>'№2 ИП ТС'!B124</f>
        <v>Вывод из эксплуатации существующего надземного участка тепловой сети в п. Верхний Ландех, ул. Новая, 1А от У-15 до Восточная ул., д. 1,  D-76 мм L= 5,00 м в двухтрубном исполнении</v>
      </c>
      <c r="C185" s="354">
        <v>0</v>
      </c>
      <c r="D185" s="354">
        <v>0</v>
      </c>
      <c r="E185" s="354">
        <v>0</v>
      </c>
      <c r="F185" s="345">
        <f t="shared" si="113"/>
        <v>0</v>
      </c>
      <c r="G185" s="354">
        <v>0</v>
      </c>
      <c r="H185" s="354">
        <v>0</v>
      </c>
      <c r="I185" s="354">
        <v>0</v>
      </c>
      <c r="J185" s="354">
        <v>0</v>
      </c>
      <c r="K185" s="354">
        <v>0</v>
      </c>
      <c r="L185" s="354">
        <v>0</v>
      </c>
      <c r="M185" s="354">
        <v>0</v>
      </c>
      <c r="N185" s="354">
        <v>0</v>
      </c>
      <c r="O185" s="354">
        <v>0</v>
      </c>
      <c r="P185" s="354">
        <v>0</v>
      </c>
      <c r="Q185" s="354">
        <v>0</v>
      </c>
      <c r="R185" s="354">
        <v>0</v>
      </c>
      <c r="S185" s="354">
        <v>0</v>
      </c>
      <c r="T185" s="354">
        <v>0</v>
      </c>
      <c r="U185" s="354">
        <v>0</v>
      </c>
      <c r="V185" s="342" t="str">
        <f>'№2 ИП ТС'!A124</f>
        <v>5.1.10</v>
      </c>
      <c r="W185" s="346"/>
      <c r="X185" s="346"/>
    </row>
    <row r="186" spans="1:24" s="347" customFormat="1" ht="99" customHeight="1" x14ac:dyDescent="0.3">
      <c r="A186" s="344" t="s">
        <v>788</v>
      </c>
      <c r="B186" s="353" t="str">
        <f>'№2 ИП ТС'!B125</f>
        <v>Вывод из эксплуатации сущест-вующего надземного участка тепловой сети в п. Верхний Ландех, ул. Новая, 1А от У-19 до Восточная ул., д. 2а,  D-76 мм L= 8,10 м в двухтрубном исполнении</v>
      </c>
      <c r="C186" s="354">
        <v>0</v>
      </c>
      <c r="D186" s="354">
        <v>0</v>
      </c>
      <c r="E186" s="354">
        <v>0</v>
      </c>
      <c r="F186" s="345">
        <f t="shared" si="113"/>
        <v>0</v>
      </c>
      <c r="G186" s="354">
        <v>0</v>
      </c>
      <c r="H186" s="354">
        <v>0</v>
      </c>
      <c r="I186" s="354">
        <v>0</v>
      </c>
      <c r="J186" s="354">
        <v>0</v>
      </c>
      <c r="K186" s="354">
        <v>0</v>
      </c>
      <c r="L186" s="354">
        <v>0</v>
      </c>
      <c r="M186" s="354">
        <v>0</v>
      </c>
      <c r="N186" s="354">
        <v>0</v>
      </c>
      <c r="O186" s="354">
        <v>0</v>
      </c>
      <c r="P186" s="354">
        <v>0</v>
      </c>
      <c r="Q186" s="354">
        <v>0</v>
      </c>
      <c r="R186" s="354">
        <v>0</v>
      </c>
      <c r="S186" s="354">
        <v>0</v>
      </c>
      <c r="T186" s="354">
        <v>0</v>
      </c>
      <c r="U186" s="354">
        <v>0</v>
      </c>
      <c r="V186" s="342" t="str">
        <f>'№2 ИП ТС'!A125</f>
        <v>5.1.11</v>
      </c>
      <c r="W186" s="346"/>
      <c r="X186" s="346"/>
    </row>
    <row r="187" spans="1:24" s="347" customFormat="1" ht="96" customHeight="1" x14ac:dyDescent="0.3">
      <c r="A187" s="344" t="s">
        <v>789</v>
      </c>
      <c r="B187" s="353" t="str">
        <f>'№2 ИП ТС'!B126</f>
        <v>Вывод из эксплуатации существующего надземного участка тепловой сети в п. Верхний Ландех ул. Октябрьская от Котельной № 2 до У-1Б D-108 мм L= 10,00 м в двухтрубном исполнении</v>
      </c>
      <c r="C187" s="354">
        <v>0</v>
      </c>
      <c r="D187" s="354">
        <v>0</v>
      </c>
      <c r="E187" s="354">
        <v>0</v>
      </c>
      <c r="F187" s="345">
        <f t="shared" si="113"/>
        <v>0</v>
      </c>
      <c r="G187" s="354">
        <v>0</v>
      </c>
      <c r="H187" s="354">
        <v>0</v>
      </c>
      <c r="I187" s="354">
        <v>0</v>
      </c>
      <c r="J187" s="354">
        <v>0</v>
      </c>
      <c r="K187" s="354">
        <v>0</v>
      </c>
      <c r="L187" s="354">
        <v>0</v>
      </c>
      <c r="M187" s="354">
        <v>0</v>
      </c>
      <c r="N187" s="354">
        <v>0</v>
      </c>
      <c r="O187" s="354">
        <v>0</v>
      </c>
      <c r="P187" s="354">
        <v>0</v>
      </c>
      <c r="Q187" s="354">
        <v>0</v>
      </c>
      <c r="R187" s="354">
        <v>0</v>
      </c>
      <c r="S187" s="354">
        <v>0</v>
      </c>
      <c r="T187" s="354">
        <v>0</v>
      </c>
      <c r="U187" s="354">
        <v>0</v>
      </c>
      <c r="V187" s="342" t="str">
        <f>'№2 ИП ТС'!A126</f>
        <v>5.1.12</v>
      </c>
      <c r="W187" s="346"/>
      <c r="X187" s="346"/>
    </row>
    <row r="188" spans="1:24" s="347" customFormat="1" ht="96" customHeight="1" x14ac:dyDescent="0.3">
      <c r="A188" s="344" t="s">
        <v>790</v>
      </c>
      <c r="B188" s="353" t="str">
        <f>'№2 ИП ТС'!B127</f>
        <v>Вывод из эксплуатации существующего подземного участка тепловой сети в п. Верхний Ландех ул. Октябрьская от У-1 до ТК-2, D-108 мм L= 35,00 м в двухтрубном исполнении</v>
      </c>
      <c r="C188" s="354">
        <v>0</v>
      </c>
      <c r="D188" s="354">
        <v>0</v>
      </c>
      <c r="E188" s="354">
        <v>0</v>
      </c>
      <c r="F188" s="345">
        <f t="shared" si="113"/>
        <v>0</v>
      </c>
      <c r="G188" s="354">
        <v>0</v>
      </c>
      <c r="H188" s="354">
        <v>0</v>
      </c>
      <c r="I188" s="354">
        <v>0</v>
      </c>
      <c r="J188" s="354">
        <v>0</v>
      </c>
      <c r="K188" s="354">
        <v>0</v>
      </c>
      <c r="L188" s="354">
        <v>0</v>
      </c>
      <c r="M188" s="354">
        <v>0</v>
      </c>
      <c r="N188" s="354">
        <v>0</v>
      </c>
      <c r="O188" s="354">
        <v>0</v>
      </c>
      <c r="P188" s="354">
        <v>0</v>
      </c>
      <c r="Q188" s="354">
        <v>0</v>
      </c>
      <c r="R188" s="354">
        <v>0</v>
      </c>
      <c r="S188" s="354">
        <v>0</v>
      </c>
      <c r="T188" s="354">
        <v>0</v>
      </c>
      <c r="U188" s="354">
        <v>0</v>
      </c>
      <c r="V188" s="342" t="str">
        <f>'№2 ИП ТС'!A127</f>
        <v>5.1.13</v>
      </c>
      <c r="W188" s="346"/>
      <c r="X188" s="346"/>
    </row>
    <row r="189" spans="1:24" s="347" customFormat="1" ht="96" customHeight="1" x14ac:dyDescent="0.3">
      <c r="A189" s="344" t="s">
        <v>791</v>
      </c>
      <c r="B189" s="353" t="str">
        <f>'№2 ИП ТС'!B128</f>
        <v>Вывод из эксплуатации существующего подземного участка тепловой сети в п. Верхний Ландех ул. Октябрьская от ТК-2 до ТК-3, D-76 мм L= 37 м в двухтрубном исполнении</v>
      </c>
      <c r="C189" s="354">
        <v>0</v>
      </c>
      <c r="D189" s="354">
        <v>0</v>
      </c>
      <c r="E189" s="354">
        <v>0</v>
      </c>
      <c r="F189" s="345">
        <f t="shared" si="113"/>
        <v>0</v>
      </c>
      <c r="G189" s="354">
        <v>0</v>
      </c>
      <c r="H189" s="354">
        <v>0</v>
      </c>
      <c r="I189" s="354">
        <v>0</v>
      </c>
      <c r="J189" s="354">
        <v>0</v>
      </c>
      <c r="K189" s="354">
        <v>0</v>
      </c>
      <c r="L189" s="354">
        <v>0</v>
      </c>
      <c r="M189" s="354">
        <v>0</v>
      </c>
      <c r="N189" s="354">
        <v>0</v>
      </c>
      <c r="O189" s="354">
        <v>0</v>
      </c>
      <c r="P189" s="354">
        <v>0</v>
      </c>
      <c r="Q189" s="354">
        <v>0</v>
      </c>
      <c r="R189" s="354">
        <v>0</v>
      </c>
      <c r="S189" s="354">
        <v>0</v>
      </c>
      <c r="T189" s="354">
        <v>0</v>
      </c>
      <c r="U189" s="354">
        <v>0</v>
      </c>
      <c r="V189" s="342" t="str">
        <f>'№2 ИП ТС'!A128</f>
        <v>5.1.14</v>
      </c>
      <c r="W189" s="346"/>
      <c r="X189" s="346"/>
    </row>
    <row r="190" spans="1:24" s="347" customFormat="1" ht="96" customHeight="1" x14ac:dyDescent="0.3">
      <c r="A190" s="344" t="s">
        <v>792</v>
      </c>
      <c r="B190" s="353" t="str">
        <f>'№2 ИП ТС'!B129</f>
        <v>Вывод из эксплуатации существующего подземного участка тепловой сети от ТК-3 до Октябрьская ул., д. 27, D-76 мм L= 74,00 м в двухтрубном исполнении</v>
      </c>
      <c r="C190" s="354">
        <v>0</v>
      </c>
      <c r="D190" s="354">
        <v>0</v>
      </c>
      <c r="E190" s="354">
        <v>0</v>
      </c>
      <c r="F190" s="345">
        <f t="shared" si="113"/>
        <v>0</v>
      </c>
      <c r="G190" s="354">
        <v>0</v>
      </c>
      <c r="H190" s="354">
        <v>0</v>
      </c>
      <c r="I190" s="354">
        <v>0</v>
      </c>
      <c r="J190" s="354">
        <v>0</v>
      </c>
      <c r="K190" s="354">
        <v>0</v>
      </c>
      <c r="L190" s="354">
        <v>0</v>
      </c>
      <c r="M190" s="354">
        <v>0</v>
      </c>
      <c r="N190" s="354">
        <v>0</v>
      </c>
      <c r="O190" s="354">
        <v>0</v>
      </c>
      <c r="P190" s="354">
        <v>0</v>
      </c>
      <c r="Q190" s="354">
        <v>0</v>
      </c>
      <c r="R190" s="354">
        <v>0</v>
      </c>
      <c r="S190" s="354">
        <v>0</v>
      </c>
      <c r="T190" s="354">
        <v>0</v>
      </c>
      <c r="U190" s="354">
        <v>0</v>
      </c>
      <c r="V190" s="342" t="str">
        <f>'№2 ИП ТС'!A129</f>
        <v>5.1.15</v>
      </c>
      <c r="W190" s="346"/>
      <c r="X190" s="346"/>
    </row>
    <row r="191" spans="1:24" s="347" customFormat="1" ht="96" customHeight="1" x14ac:dyDescent="0.3">
      <c r="A191" s="344" t="s">
        <v>793</v>
      </c>
      <c r="B191" s="353" t="str">
        <f>'№2 ИП ТС'!B130</f>
        <v>Вывод из эксплуатации существующего подземного участка тепловой сети от ТК-2 до Октябрьская ул., д. 31, D-76 мм L= 42,00 м в двухтрубном исполнении</v>
      </c>
      <c r="C191" s="354">
        <v>0</v>
      </c>
      <c r="D191" s="354">
        <v>0</v>
      </c>
      <c r="E191" s="354">
        <v>0</v>
      </c>
      <c r="F191" s="345">
        <f t="shared" si="113"/>
        <v>0</v>
      </c>
      <c r="G191" s="354">
        <v>0</v>
      </c>
      <c r="H191" s="354">
        <v>0</v>
      </c>
      <c r="I191" s="354">
        <v>0</v>
      </c>
      <c r="J191" s="354">
        <v>0</v>
      </c>
      <c r="K191" s="354">
        <v>0</v>
      </c>
      <c r="L191" s="354">
        <v>0</v>
      </c>
      <c r="M191" s="354">
        <v>0</v>
      </c>
      <c r="N191" s="354">
        <v>0</v>
      </c>
      <c r="O191" s="354">
        <v>0</v>
      </c>
      <c r="P191" s="354">
        <v>0</v>
      </c>
      <c r="Q191" s="354">
        <v>0</v>
      </c>
      <c r="R191" s="354">
        <v>0</v>
      </c>
      <c r="S191" s="354">
        <v>0</v>
      </c>
      <c r="T191" s="354">
        <v>0</v>
      </c>
      <c r="U191" s="354">
        <v>0</v>
      </c>
      <c r="V191" s="342" t="str">
        <f>'№2 ИП ТС'!A130</f>
        <v>5.1.16</v>
      </c>
      <c r="W191" s="346"/>
      <c r="X191" s="346"/>
    </row>
    <row r="192" spans="1:24" s="347" customFormat="1" ht="96" customHeight="1" x14ac:dyDescent="0.3">
      <c r="A192" s="344" t="s">
        <v>794</v>
      </c>
      <c r="B192" s="353" t="str">
        <f>'№2 ИП ТС'!B131</f>
        <v xml:space="preserve">Вывод из эксплуатации существующего подземного участка тепловой сети  в п. Верхний Ландех, ул. Строителей, д. 24А от Котельной №3 до ТК-1 D-133 мм L= 55,70 м в двухтрубном исполнении </v>
      </c>
      <c r="C192" s="354">
        <v>0</v>
      </c>
      <c r="D192" s="354">
        <v>0</v>
      </c>
      <c r="E192" s="354">
        <v>0</v>
      </c>
      <c r="F192" s="345">
        <f t="shared" si="113"/>
        <v>0</v>
      </c>
      <c r="G192" s="354">
        <v>0</v>
      </c>
      <c r="H192" s="354">
        <v>0</v>
      </c>
      <c r="I192" s="354">
        <v>0</v>
      </c>
      <c r="J192" s="354">
        <v>0</v>
      </c>
      <c r="K192" s="354">
        <v>0</v>
      </c>
      <c r="L192" s="354">
        <v>0</v>
      </c>
      <c r="M192" s="354">
        <v>0</v>
      </c>
      <c r="N192" s="354">
        <v>0</v>
      </c>
      <c r="O192" s="354">
        <v>0</v>
      </c>
      <c r="P192" s="354">
        <v>0</v>
      </c>
      <c r="Q192" s="354">
        <v>0</v>
      </c>
      <c r="R192" s="354">
        <v>0</v>
      </c>
      <c r="S192" s="354">
        <v>0</v>
      </c>
      <c r="T192" s="354">
        <v>0</v>
      </c>
      <c r="U192" s="354">
        <v>0</v>
      </c>
      <c r="V192" s="342" t="str">
        <f>'№2 ИП ТС'!A131</f>
        <v>5.1.17</v>
      </c>
      <c r="W192" s="346"/>
      <c r="X192" s="346"/>
    </row>
    <row r="193" spans="1:26" s="347" customFormat="1" ht="96" customHeight="1" x14ac:dyDescent="0.3">
      <c r="A193" s="344" t="s">
        <v>795</v>
      </c>
      <c r="B193" s="353" t="str">
        <f>'№2 ИП ТС'!B132</f>
        <v>Вывод из эксплуатации существующего подземного участка тепловой сети в п. Верхний Ландех, ул. Строителей, д. 24А от ТК-1 до У-0, D-133 мм L= 96,00 м в двухтрубном исполнении</v>
      </c>
      <c r="C193" s="354">
        <v>0</v>
      </c>
      <c r="D193" s="354">
        <v>0</v>
      </c>
      <c r="E193" s="354">
        <v>0</v>
      </c>
      <c r="F193" s="345">
        <f t="shared" si="113"/>
        <v>0</v>
      </c>
      <c r="G193" s="354">
        <v>0</v>
      </c>
      <c r="H193" s="354">
        <v>0</v>
      </c>
      <c r="I193" s="354">
        <v>0</v>
      </c>
      <c r="J193" s="354">
        <v>0</v>
      </c>
      <c r="K193" s="354">
        <v>0</v>
      </c>
      <c r="L193" s="354">
        <v>0</v>
      </c>
      <c r="M193" s="354">
        <v>0</v>
      </c>
      <c r="N193" s="354">
        <v>0</v>
      </c>
      <c r="O193" s="354">
        <v>0</v>
      </c>
      <c r="P193" s="354">
        <v>0</v>
      </c>
      <c r="Q193" s="354">
        <v>0</v>
      </c>
      <c r="R193" s="354">
        <v>0</v>
      </c>
      <c r="S193" s="354">
        <v>0</v>
      </c>
      <c r="T193" s="354">
        <v>0</v>
      </c>
      <c r="U193" s="354">
        <v>0</v>
      </c>
      <c r="V193" s="342" t="str">
        <f>'№2 ИП ТС'!A132</f>
        <v>5.1.18</v>
      </c>
      <c r="W193" s="346"/>
      <c r="X193" s="346"/>
    </row>
    <row r="194" spans="1:26" s="347" customFormat="1" ht="96" customHeight="1" x14ac:dyDescent="0.3">
      <c r="A194" s="344" t="s">
        <v>796</v>
      </c>
      <c r="B194" s="353" t="str">
        <f>'№2 ИП ТС'!B133</f>
        <v>Вывод из эксплуатации существующего подземного участка тепловой сети в п. Верхний Ландех, ул. Строителей,д. 24А от У-0 до ТК-2, D-159 мм L= 42,00 м в двухтрубном исполнении</v>
      </c>
      <c r="C194" s="354">
        <v>0</v>
      </c>
      <c r="D194" s="354">
        <v>0</v>
      </c>
      <c r="E194" s="354">
        <v>0</v>
      </c>
      <c r="F194" s="345">
        <f t="shared" si="113"/>
        <v>0</v>
      </c>
      <c r="G194" s="354">
        <v>0</v>
      </c>
      <c r="H194" s="354">
        <v>0</v>
      </c>
      <c r="I194" s="354">
        <v>0</v>
      </c>
      <c r="J194" s="354">
        <v>0</v>
      </c>
      <c r="K194" s="354">
        <v>0</v>
      </c>
      <c r="L194" s="354">
        <v>0</v>
      </c>
      <c r="M194" s="354">
        <v>0</v>
      </c>
      <c r="N194" s="354">
        <v>0</v>
      </c>
      <c r="O194" s="354">
        <v>0</v>
      </c>
      <c r="P194" s="354">
        <v>0</v>
      </c>
      <c r="Q194" s="354">
        <v>0</v>
      </c>
      <c r="R194" s="354">
        <v>0</v>
      </c>
      <c r="S194" s="354">
        <v>0</v>
      </c>
      <c r="T194" s="354">
        <v>0</v>
      </c>
      <c r="U194" s="354">
        <v>0</v>
      </c>
      <c r="V194" s="342" t="str">
        <f>'№2 ИП ТС'!A133</f>
        <v>5.1.19</v>
      </c>
      <c r="W194" s="346"/>
      <c r="X194" s="346"/>
    </row>
    <row r="195" spans="1:26" s="347" customFormat="1" ht="96" customHeight="1" x14ac:dyDescent="0.3">
      <c r="A195" s="344" t="s">
        <v>797</v>
      </c>
      <c r="B195" s="353" t="str">
        <f>'№2 ИП ТС'!B134</f>
        <v>Вывод из эксплуатации существующего подземного участка тепловой сети в п. Верхний Ландех, ул. Строителей, д. 24А от  У-10 до У-10А, D-108 мм L= 19,00 м в двухтрубном исполнении</v>
      </c>
      <c r="C195" s="354">
        <v>0</v>
      </c>
      <c r="D195" s="354">
        <v>0</v>
      </c>
      <c r="E195" s="354">
        <v>0</v>
      </c>
      <c r="F195" s="345">
        <f t="shared" si="113"/>
        <v>0</v>
      </c>
      <c r="G195" s="354">
        <v>0</v>
      </c>
      <c r="H195" s="354">
        <v>0</v>
      </c>
      <c r="I195" s="354">
        <v>0</v>
      </c>
      <c r="J195" s="354">
        <v>0</v>
      </c>
      <c r="K195" s="354">
        <v>0</v>
      </c>
      <c r="L195" s="354">
        <v>0</v>
      </c>
      <c r="M195" s="354">
        <v>0</v>
      </c>
      <c r="N195" s="354">
        <v>0</v>
      </c>
      <c r="O195" s="354">
        <v>0</v>
      </c>
      <c r="P195" s="354">
        <v>0</v>
      </c>
      <c r="Q195" s="354">
        <v>0</v>
      </c>
      <c r="R195" s="354">
        <v>0</v>
      </c>
      <c r="S195" s="354">
        <v>0</v>
      </c>
      <c r="T195" s="354">
        <v>0</v>
      </c>
      <c r="U195" s="354">
        <v>0</v>
      </c>
      <c r="V195" s="342" t="str">
        <f>'№2 ИП ТС'!A134</f>
        <v>5.1.20</v>
      </c>
      <c r="W195" s="346"/>
      <c r="X195" s="346"/>
    </row>
    <row r="196" spans="1:26" s="347" customFormat="1" ht="106.5" customHeight="1" x14ac:dyDescent="0.3">
      <c r="A196" s="344" t="s">
        <v>798</v>
      </c>
      <c r="B196" s="353" t="str">
        <f>'№2 ИП ТС'!B135</f>
        <v>Вывод из эксплуатации существующего подземного участка тепловой сети в п. Верхний Ландех пер. Школьный от У-1 до У-3 D-76 мм L= 32,70 м в двухтрубном исполнении</v>
      </c>
      <c r="C196" s="354">
        <v>0</v>
      </c>
      <c r="D196" s="354">
        <v>0</v>
      </c>
      <c r="E196" s="354">
        <v>0</v>
      </c>
      <c r="F196" s="345">
        <f t="shared" si="113"/>
        <v>0</v>
      </c>
      <c r="G196" s="354">
        <v>0</v>
      </c>
      <c r="H196" s="354">
        <v>0</v>
      </c>
      <c r="I196" s="354">
        <v>0</v>
      </c>
      <c r="J196" s="354">
        <v>0</v>
      </c>
      <c r="K196" s="354">
        <v>0</v>
      </c>
      <c r="L196" s="354">
        <v>0</v>
      </c>
      <c r="M196" s="354">
        <v>0</v>
      </c>
      <c r="N196" s="354">
        <v>0</v>
      </c>
      <c r="O196" s="354">
        <v>0</v>
      </c>
      <c r="P196" s="354">
        <v>0</v>
      </c>
      <c r="Q196" s="354">
        <v>0</v>
      </c>
      <c r="R196" s="354">
        <v>0</v>
      </c>
      <c r="S196" s="354">
        <v>0</v>
      </c>
      <c r="T196" s="354">
        <v>0</v>
      </c>
      <c r="U196" s="354">
        <v>0</v>
      </c>
      <c r="V196" s="342" t="str">
        <f>'№2 ИП ТС'!A135</f>
        <v>5.1.21</v>
      </c>
      <c r="W196" s="346"/>
      <c r="X196" s="346"/>
    </row>
    <row r="197" spans="1:26" s="347" customFormat="1" ht="101.25" customHeight="1" x14ac:dyDescent="0.3">
      <c r="A197" s="344" t="s">
        <v>799</v>
      </c>
      <c r="B197" s="353" t="str">
        <f>'№2 ИП ТС'!B136</f>
        <v>Вывод из эксплуатации существующего надземного участка тепловой сети в п. Верхний Ландех пер. Школьный от Котельная № 4 до У-1, D-133 мм  L= 2,10 м в двухтрубном исполнении</v>
      </c>
      <c r="C197" s="354">
        <v>0</v>
      </c>
      <c r="D197" s="354">
        <v>0</v>
      </c>
      <c r="E197" s="354">
        <v>0</v>
      </c>
      <c r="F197" s="345">
        <f t="shared" si="113"/>
        <v>0</v>
      </c>
      <c r="G197" s="354">
        <v>0</v>
      </c>
      <c r="H197" s="354">
        <v>0</v>
      </c>
      <c r="I197" s="354">
        <v>0</v>
      </c>
      <c r="J197" s="354">
        <v>0</v>
      </c>
      <c r="K197" s="354">
        <v>0</v>
      </c>
      <c r="L197" s="354">
        <v>0</v>
      </c>
      <c r="M197" s="354">
        <v>0</v>
      </c>
      <c r="N197" s="354">
        <v>0</v>
      </c>
      <c r="O197" s="354">
        <v>0</v>
      </c>
      <c r="P197" s="354">
        <v>0</v>
      </c>
      <c r="Q197" s="354">
        <v>0</v>
      </c>
      <c r="R197" s="354">
        <v>0</v>
      </c>
      <c r="S197" s="354">
        <v>0</v>
      </c>
      <c r="T197" s="354">
        <v>0</v>
      </c>
      <c r="U197" s="354">
        <v>0</v>
      </c>
      <c r="V197" s="342" t="str">
        <f>'№2 ИП ТС'!A136</f>
        <v>5.1.22</v>
      </c>
      <c r="W197" s="346"/>
      <c r="X197" s="346"/>
    </row>
    <row r="198" spans="1:26" s="347" customFormat="1" ht="105" customHeight="1" x14ac:dyDescent="0.3">
      <c r="A198" s="344" t="s">
        <v>800</v>
      </c>
      <c r="B198" s="353" t="str">
        <f>'№2 ИП ТС'!B137</f>
        <v>Вывод из эксплуатации существующего подземного участка тепловой сети от У-3 до Школьный пер., д. 3, D-76 мм L= 30,00 м в двухтрубном исполнении</v>
      </c>
      <c r="C198" s="354">
        <v>0</v>
      </c>
      <c r="D198" s="354">
        <v>0</v>
      </c>
      <c r="E198" s="354">
        <v>0</v>
      </c>
      <c r="F198" s="345">
        <f t="shared" si="113"/>
        <v>0</v>
      </c>
      <c r="G198" s="354">
        <v>0</v>
      </c>
      <c r="H198" s="354">
        <v>0</v>
      </c>
      <c r="I198" s="354">
        <v>0</v>
      </c>
      <c r="J198" s="354">
        <v>0</v>
      </c>
      <c r="K198" s="354">
        <v>0</v>
      </c>
      <c r="L198" s="354">
        <v>0</v>
      </c>
      <c r="M198" s="354">
        <v>0</v>
      </c>
      <c r="N198" s="354">
        <v>0</v>
      </c>
      <c r="O198" s="354">
        <v>0</v>
      </c>
      <c r="P198" s="354">
        <v>0</v>
      </c>
      <c r="Q198" s="354">
        <v>0</v>
      </c>
      <c r="R198" s="354">
        <v>0</v>
      </c>
      <c r="S198" s="354">
        <v>0</v>
      </c>
      <c r="T198" s="354">
        <v>0</v>
      </c>
      <c r="U198" s="354">
        <v>0</v>
      </c>
      <c r="V198" s="342" t="str">
        <f>'№2 ИП ТС'!A137</f>
        <v>5.1.23</v>
      </c>
      <c r="W198" s="346"/>
      <c r="X198" s="346"/>
    </row>
    <row r="199" spans="1:26" s="347" customFormat="1" ht="111" customHeight="1" x14ac:dyDescent="0.3">
      <c r="A199" s="344" t="s">
        <v>801</v>
      </c>
      <c r="B199" s="353" t="str">
        <f>'№2 ИП ТС'!B138</f>
        <v>Вывод из эксплуатации существующего надземного участка тепловой сети от Котельная № 4 до Школьный пер., д. 1, D-40 мм L= 259,70 м в двухтрубном исполнении</v>
      </c>
      <c r="C199" s="354">
        <v>0</v>
      </c>
      <c r="D199" s="354">
        <v>0</v>
      </c>
      <c r="E199" s="354">
        <v>0</v>
      </c>
      <c r="F199" s="345">
        <f t="shared" si="113"/>
        <v>0</v>
      </c>
      <c r="G199" s="354">
        <v>0</v>
      </c>
      <c r="H199" s="354">
        <v>0</v>
      </c>
      <c r="I199" s="354">
        <v>0</v>
      </c>
      <c r="J199" s="354">
        <v>0</v>
      </c>
      <c r="K199" s="354">
        <v>0</v>
      </c>
      <c r="L199" s="354">
        <v>0</v>
      </c>
      <c r="M199" s="354">
        <v>0</v>
      </c>
      <c r="N199" s="354">
        <v>0</v>
      </c>
      <c r="O199" s="354">
        <v>0</v>
      </c>
      <c r="P199" s="354">
        <v>0</v>
      </c>
      <c r="Q199" s="354">
        <v>0</v>
      </c>
      <c r="R199" s="354">
        <v>0</v>
      </c>
      <c r="S199" s="354">
        <v>0</v>
      </c>
      <c r="T199" s="354">
        <v>0</v>
      </c>
      <c r="U199" s="354">
        <v>0</v>
      </c>
      <c r="V199" s="342" t="str">
        <f>'№2 ИП ТС'!A138</f>
        <v>5.1.24</v>
      </c>
      <c r="W199" s="346"/>
      <c r="X199" s="346"/>
    </row>
    <row r="200" spans="1:26" x14ac:dyDescent="0.3">
      <c r="A200" s="355" t="s">
        <v>243</v>
      </c>
      <c r="B200" s="353" t="s">
        <v>258</v>
      </c>
      <c r="C200" s="345">
        <f>D200+E200</f>
        <v>0</v>
      </c>
      <c r="D200" s="345">
        <v>0</v>
      </c>
      <c r="E200" s="345">
        <v>0</v>
      </c>
      <c r="F200" s="345">
        <f>SUM(G200:U200)</f>
        <v>0</v>
      </c>
      <c r="G200" s="345">
        <v>0</v>
      </c>
      <c r="H200" s="345">
        <v>0</v>
      </c>
      <c r="I200" s="345">
        <v>0</v>
      </c>
      <c r="J200" s="345">
        <v>0</v>
      </c>
      <c r="K200" s="345">
        <v>0</v>
      </c>
      <c r="L200" s="345">
        <v>0</v>
      </c>
      <c r="M200" s="345">
        <v>0</v>
      </c>
      <c r="N200" s="345">
        <v>0</v>
      </c>
      <c r="O200" s="345">
        <v>0</v>
      </c>
      <c r="P200" s="345">
        <v>0</v>
      </c>
      <c r="Q200" s="345">
        <v>0</v>
      </c>
      <c r="R200" s="345">
        <v>0</v>
      </c>
      <c r="S200" s="345">
        <v>0</v>
      </c>
      <c r="T200" s="345">
        <v>0</v>
      </c>
      <c r="U200" s="345">
        <v>0</v>
      </c>
      <c r="V200" s="345"/>
    </row>
    <row r="201" spans="1:26" ht="37.5" x14ac:dyDescent="0.3">
      <c r="A201" s="355" t="s">
        <v>244</v>
      </c>
      <c r="B201" s="353" t="s">
        <v>254</v>
      </c>
      <c r="C201" s="345">
        <f>SUM(G201:U201)</f>
        <v>0</v>
      </c>
      <c r="D201" s="345">
        <v>0</v>
      </c>
      <c r="E201" s="345">
        <f>SUM(G201:U201)</f>
        <v>0</v>
      </c>
      <c r="F201" s="345">
        <f>SUM(G201:U201)</f>
        <v>0</v>
      </c>
      <c r="G201" s="345">
        <v>0</v>
      </c>
      <c r="H201" s="345">
        <v>0</v>
      </c>
      <c r="I201" s="345">
        <v>0</v>
      </c>
      <c r="J201" s="345">
        <v>0</v>
      </c>
      <c r="K201" s="345">
        <v>0</v>
      </c>
      <c r="L201" s="345">
        <v>0</v>
      </c>
      <c r="M201" s="345">
        <v>0</v>
      </c>
      <c r="N201" s="345">
        <v>0</v>
      </c>
      <c r="O201" s="345">
        <v>0</v>
      </c>
      <c r="P201" s="345">
        <v>0</v>
      </c>
      <c r="Q201" s="345">
        <v>0</v>
      </c>
      <c r="R201" s="345">
        <v>0</v>
      </c>
      <c r="S201" s="345">
        <v>0</v>
      </c>
      <c r="T201" s="345">
        <v>0</v>
      </c>
      <c r="U201" s="345">
        <v>0</v>
      </c>
      <c r="V201" s="345"/>
      <c r="W201" s="356"/>
      <c r="X201" s="356"/>
      <c r="Y201" s="357"/>
      <c r="Z201" s="357"/>
    </row>
    <row r="202" spans="1:26" ht="37.5" x14ac:dyDescent="0.3">
      <c r="A202" s="355" t="s">
        <v>249</v>
      </c>
      <c r="B202" s="353" t="s">
        <v>255</v>
      </c>
      <c r="C202" s="345">
        <f>SUM(G202:U202)</f>
        <v>0</v>
      </c>
      <c r="D202" s="345">
        <v>0</v>
      </c>
      <c r="E202" s="345">
        <f>SUM(G202:U202)</f>
        <v>0</v>
      </c>
      <c r="F202" s="345">
        <f>SUM(G202:U202)</f>
        <v>0</v>
      </c>
      <c r="G202" s="345">
        <v>0</v>
      </c>
      <c r="H202" s="345">
        <v>0</v>
      </c>
      <c r="I202" s="345">
        <v>0</v>
      </c>
      <c r="J202" s="345">
        <v>0</v>
      </c>
      <c r="K202" s="345">
        <v>0</v>
      </c>
      <c r="L202" s="345">
        <v>0</v>
      </c>
      <c r="M202" s="345">
        <v>0</v>
      </c>
      <c r="N202" s="345">
        <v>0</v>
      </c>
      <c r="O202" s="345">
        <v>0</v>
      </c>
      <c r="P202" s="345">
        <v>0</v>
      </c>
      <c r="Q202" s="345">
        <v>0</v>
      </c>
      <c r="R202" s="345">
        <v>0</v>
      </c>
      <c r="S202" s="345">
        <v>0</v>
      </c>
      <c r="T202" s="345">
        <v>0</v>
      </c>
      <c r="U202" s="345">
        <v>0</v>
      </c>
      <c r="V202" s="345"/>
      <c r="W202" s="356"/>
      <c r="X202" s="356"/>
      <c r="Y202" s="357"/>
      <c r="Z202" s="357"/>
    </row>
    <row r="203" spans="1:26" x14ac:dyDescent="0.3">
      <c r="A203" s="349" t="s">
        <v>180</v>
      </c>
      <c r="B203" s="350" t="s">
        <v>256</v>
      </c>
      <c r="C203" s="351">
        <f>SUM(C204:C206)</f>
        <v>25000</v>
      </c>
      <c r="D203" s="351">
        <f t="shared" ref="D203:U203" si="120">SUM(D204:D206)</f>
        <v>25000</v>
      </c>
      <c r="E203" s="351">
        <f t="shared" si="120"/>
        <v>0</v>
      </c>
      <c r="F203" s="351">
        <f t="shared" si="120"/>
        <v>25000</v>
      </c>
      <c r="G203" s="351">
        <f t="shared" si="120"/>
        <v>0</v>
      </c>
      <c r="H203" s="351">
        <f t="shared" si="120"/>
        <v>0</v>
      </c>
      <c r="I203" s="351">
        <f t="shared" si="120"/>
        <v>25000</v>
      </c>
      <c r="J203" s="351">
        <f t="shared" si="120"/>
        <v>0</v>
      </c>
      <c r="K203" s="351">
        <f t="shared" si="120"/>
        <v>0</v>
      </c>
      <c r="L203" s="351">
        <f t="shared" si="120"/>
        <v>0</v>
      </c>
      <c r="M203" s="351">
        <f t="shared" si="120"/>
        <v>0</v>
      </c>
      <c r="N203" s="351">
        <f t="shared" si="120"/>
        <v>0</v>
      </c>
      <c r="O203" s="351">
        <f t="shared" si="120"/>
        <v>0</v>
      </c>
      <c r="P203" s="351">
        <f t="shared" si="120"/>
        <v>0</v>
      </c>
      <c r="Q203" s="351">
        <f t="shared" si="120"/>
        <v>0</v>
      </c>
      <c r="R203" s="351">
        <f t="shared" si="120"/>
        <v>0</v>
      </c>
      <c r="S203" s="351">
        <f t="shared" si="120"/>
        <v>0</v>
      </c>
      <c r="T203" s="351">
        <f t="shared" si="120"/>
        <v>0</v>
      </c>
      <c r="U203" s="351">
        <f t="shared" si="120"/>
        <v>0</v>
      </c>
      <c r="V203" s="351"/>
      <c r="W203" s="356"/>
      <c r="X203" s="356"/>
      <c r="Y203" s="357"/>
      <c r="Z203" s="357"/>
    </row>
    <row r="204" spans="1:26" ht="66" customHeight="1" x14ac:dyDescent="0.3">
      <c r="A204" s="344" t="s">
        <v>26</v>
      </c>
      <c r="B204" s="350" t="str">
        <f t="shared" ref="B204:D206" si="121">B98</f>
        <v>Строительство БМК мощностью 2,5 МВт в п. Верхний Ландех, в районе д. 1А по ул. Новая</v>
      </c>
      <c r="C204" s="349">
        <f t="shared" si="121"/>
        <v>11256.286</v>
      </c>
      <c r="D204" s="349">
        <f t="shared" si="121"/>
        <v>11256.286</v>
      </c>
      <c r="E204" s="369">
        <v>0</v>
      </c>
      <c r="F204" s="345">
        <f t="shared" ref="F204:F206" si="122">SUM(G204:U204)</f>
        <v>11256.286</v>
      </c>
      <c r="G204" s="369">
        <v>0</v>
      </c>
      <c r="H204" s="369">
        <v>0</v>
      </c>
      <c r="I204" s="351">
        <f>C204</f>
        <v>11256.286</v>
      </c>
      <c r="J204" s="369">
        <v>0</v>
      </c>
      <c r="K204" s="369">
        <v>0</v>
      </c>
      <c r="L204" s="369">
        <v>0</v>
      </c>
      <c r="M204" s="369">
        <v>0</v>
      </c>
      <c r="N204" s="369">
        <v>0</v>
      </c>
      <c r="O204" s="369">
        <v>0</v>
      </c>
      <c r="P204" s="369">
        <v>0</v>
      </c>
      <c r="Q204" s="369">
        <v>0</v>
      </c>
      <c r="R204" s="369">
        <v>0</v>
      </c>
      <c r="S204" s="369">
        <v>0</v>
      </c>
      <c r="T204" s="369">
        <v>0</v>
      </c>
      <c r="U204" s="369">
        <v>0</v>
      </c>
      <c r="V204" s="351"/>
      <c r="W204" s="356"/>
      <c r="X204" s="356"/>
      <c r="Y204" s="357"/>
      <c r="Z204" s="357"/>
    </row>
    <row r="205" spans="1:26" ht="66" customHeight="1" x14ac:dyDescent="0.3">
      <c r="A205" s="344" t="s">
        <v>126</v>
      </c>
      <c r="B205" s="350" t="str">
        <f t="shared" si="121"/>
        <v>Строительство БМК мощностью 0,4 МВт в п.Верхний Ландех, в районе ул. Октябрьская д. 37А</v>
      </c>
      <c r="C205" s="349">
        <f t="shared" si="121"/>
        <v>6871.857</v>
      </c>
      <c r="D205" s="349">
        <f t="shared" si="121"/>
        <v>6871.857</v>
      </c>
      <c r="E205" s="369">
        <v>0</v>
      </c>
      <c r="F205" s="345">
        <f t="shared" si="122"/>
        <v>6871.857</v>
      </c>
      <c r="G205" s="369">
        <v>0</v>
      </c>
      <c r="H205" s="369">
        <v>0</v>
      </c>
      <c r="I205" s="351">
        <f t="shared" ref="I205:I206" si="123">C205</f>
        <v>6871.857</v>
      </c>
      <c r="J205" s="369">
        <v>0</v>
      </c>
      <c r="K205" s="369">
        <v>0</v>
      </c>
      <c r="L205" s="369">
        <v>0</v>
      </c>
      <c r="M205" s="369">
        <v>0</v>
      </c>
      <c r="N205" s="369">
        <v>0</v>
      </c>
      <c r="O205" s="369">
        <v>0</v>
      </c>
      <c r="P205" s="369">
        <v>0</v>
      </c>
      <c r="Q205" s="369">
        <v>0</v>
      </c>
      <c r="R205" s="369">
        <v>0</v>
      </c>
      <c r="S205" s="369">
        <v>0</v>
      </c>
      <c r="T205" s="369">
        <v>0</v>
      </c>
      <c r="U205" s="369">
        <v>0</v>
      </c>
      <c r="V205" s="351"/>
      <c r="W205" s="356"/>
      <c r="X205" s="356"/>
      <c r="Y205" s="357"/>
      <c r="Z205" s="357"/>
    </row>
    <row r="206" spans="1:26" ht="66" customHeight="1" x14ac:dyDescent="0.3">
      <c r="A206" s="344" t="s">
        <v>435</v>
      </c>
      <c r="B206" s="350" t="str">
        <f t="shared" si="121"/>
        <v>Строительство БМК мощностью 0,4 МВт в п. Верхний Ландех, в районе пер. Школьный, д. 2</v>
      </c>
      <c r="C206" s="349">
        <f t="shared" si="121"/>
        <v>6871.857</v>
      </c>
      <c r="D206" s="349">
        <f t="shared" si="121"/>
        <v>6871.857</v>
      </c>
      <c r="E206" s="369">
        <v>0</v>
      </c>
      <c r="F206" s="345">
        <f t="shared" si="122"/>
        <v>6871.857</v>
      </c>
      <c r="G206" s="369">
        <v>0</v>
      </c>
      <c r="H206" s="369">
        <v>0</v>
      </c>
      <c r="I206" s="351">
        <f t="shared" si="123"/>
        <v>6871.857</v>
      </c>
      <c r="J206" s="369">
        <v>0</v>
      </c>
      <c r="K206" s="369">
        <v>0</v>
      </c>
      <c r="L206" s="369">
        <v>0</v>
      </c>
      <c r="M206" s="369">
        <v>0</v>
      </c>
      <c r="N206" s="369">
        <v>0</v>
      </c>
      <c r="O206" s="369">
        <v>0</v>
      </c>
      <c r="P206" s="369">
        <v>0</v>
      </c>
      <c r="Q206" s="369">
        <v>0</v>
      </c>
      <c r="R206" s="369">
        <v>0</v>
      </c>
      <c r="S206" s="369">
        <v>0</v>
      </c>
      <c r="T206" s="369">
        <v>0</v>
      </c>
      <c r="U206" s="369">
        <v>0</v>
      </c>
      <c r="V206" s="351"/>
      <c r="W206" s="356"/>
      <c r="X206" s="356"/>
      <c r="Y206" s="357"/>
      <c r="Z206" s="357"/>
    </row>
    <row r="207" spans="1:26" x14ac:dyDescent="0.3">
      <c r="A207" s="349" t="s">
        <v>181</v>
      </c>
      <c r="B207" s="350" t="s">
        <v>257</v>
      </c>
      <c r="C207" s="351">
        <f>SUM(G207:U207)</f>
        <v>0</v>
      </c>
      <c r="D207" s="351">
        <v>0</v>
      </c>
      <c r="E207" s="351">
        <f>SUM(G207:U207)</f>
        <v>0</v>
      </c>
      <c r="F207" s="351">
        <v>0</v>
      </c>
      <c r="G207" s="351">
        <v>0</v>
      </c>
      <c r="H207" s="351">
        <v>0</v>
      </c>
      <c r="I207" s="351">
        <v>0</v>
      </c>
      <c r="J207" s="351">
        <v>0</v>
      </c>
      <c r="K207" s="351">
        <v>0</v>
      </c>
      <c r="L207" s="351">
        <v>0</v>
      </c>
      <c r="M207" s="351">
        <v>0</v>
      </c>
      <c r="N207" s="351">
        <v>0</v>
      </c>
      <c r="O207" s="351">
        <v>0</v>
      </c>
      <c r="P207" s="351">
        <v>0</v>
      </c>
      <c r="Q207" s="351">
        <v>0</v>
      </c>
      <c r="R207" s="351">
        <v>0</v>
      </c>
      <c r="S207" s="351">
        <v>0</v>
      </c>
      <c r="T207" s="351">
        <v>0</v>
      </c>
      <c r="U207" s="351">
        <v>0</v>
      </c>
      <c r="V207" s="351"/>
      <c r="W207" s="356"/>
      <c r="X207" s="356"/>
      <c r="Y207" s="357"/>
      <c r="Z207" s="357"/>
    </row>
    <row r="208" spans="1:26" ht="45" customHeight="1" x14ac:dyDescent="0.3">
      <c r="A208" s="355"/>
      <c r="B208" s="350" t="s">
        <v>149</v>
      </c>
      <c r="C208" s="351">
        <f>SUM(G208:U208)</f>
        <v>95995.746333333373</v>
      </c>
      <c r="D208" s="351">
        <f>D104+D203+D207</f>
        <v>70552.033999999985</v>
      </c>
      <c r="E208" s="351">
        <f>E104+E203+E207</f>
        <v>25443.712333333333</v>
      </c>
      <c r="F208" s="351">
        <f>SUM(G208:U208)</f>
        <v>95995.746333333373</v>
      </c>
      <c r="G208" s="351">
        <f t="shared" ref="G208:U208" si="124">G104+G203+G207</f>
        <v>0</v>
      </c>
      <c r="H208" s="351">
        <f t="shared" si="124"/>
        <v>0</v>
      </c>
      <c r="I208" s="351">
        <f t="shared" si="124"/>
        <v>29967.190300000002</v>
      </c>
      <c r="J208" s="351">
        <f t="shared" si="124"/>
        <v>6158.5507000000016</v>
      </c>
      <c r="K208" s="351">
        <f t="shared" si="124"/>
        <v>7099.5746333333373</v>
      </c>
      <c r="L208" s="351">
        <f t="shared" si="124"/>
        <v>7099.5746333333373</v>
      </c>
      <c r="M208" s="351">
        <f t="shared" si="124"/>
        <v>7099.5746333333373</v>
      </c>
      <c r="N208" s="351">
        <f t="shared" si="124"/>
        <v>7099.5746333333373</v>
      </c>
      <c r="O208" s="351">
        <f t="shared" si="124"/>
        <v>7099.5746333333373</v>
      </c>
      <c r="P208" s="351">
        <f t="shared" si="124"/>
        <v>7099.5746333333373</v>
      </c>
      <c r="Q208" s="351">
        <f t="shared" si="124"/>
        <v>7099.5746333333373</v>
      </c>
      <c r="R208" s="351">
        <f t="shared" si="124"/>
        <v>7099.5746333333373</v>
      </c>
      <c r="S208" s="351">
        <f t="shared" si="124"/>
        <v>2132.3843333333334</v>
      </c>
      <c r="T208" s="351">
        <f t="shared" si="124"/>
        <v>941.02393333333316</v>
      </c>
      <c r="U208" s="351">
        <f t="shared" si="124"/>
        <v>0</v>
      </c>
      <c r="V208" s="351"/>
      <c r="W208" s="356"/>
      <c r="X208" s="356"/>
      <c r="Y208" s="357"/>
      <c r="Z208" s="357"/>
    </row>
    <row r="209" spans="1:26" x14ac:dyDescent="0.3">
      <c r="V209" s="356"/>
      <c r="W209" s="356"/>
      <c r="X209" s="356"/>
      <c r="Y209" s="357"/>
      <c r="Z209" s="357"/>
    </row>
    <row r="210" spans="1:26" s="287" customFormat="1" ht="21" x14ac:dyDescent="0.35">
      <c r="A210" s="443"/>
      <c r="B210" s="443"/>
      <c r="C210" s="444"/>
      <c r="D210" s="444"/>
      <c r="E210" s="444"/>
      <c r="F210" s="444"/>
      <c r="G210" s="445"/>
      <c r="H210" s="445"/>
      <c r="I210" s="445"/>
      <c r="J210" s="445"/>
      <c r="K210" s="445"/>
      <c r="L210" s="445"/>
      <c r="M210" s="445"/>
    </row>
    <row r="211" spans="1:26" s="287" customFormat="1" ht="15.75" customHeight="1" x14ac:dyDescent="0.3">
      <c r="A211" s="289"/>
      <c r="B211" s="289"/>
      <c r="C211" s="289"/>
      <c r="D211" s="289"/>
      <c r="E211" s="289"/>
      <c r="F211" s="289"/>
      <c r="G211" s="289"/>
      <c r="H211" s="289"/>
      <c r="I211" s="289"/>
      <c r="J211" s="289"/>
      <c r="K211" s="289"/>
      <c r="L211" s="289"/>
      <c r="M211" s="289"/>
    </row>
    <row r="212" spans="1:26" x14ac:dyDescent="0.3">
      <c r="V212" s="356"/>
      <c r="W212" s="356"/>
      <c r="X212" s="356"/>
      <c r="Y212" s="357"/>
      <c r="Z212" s="357"/>
    </row>
    <row r="213" spans="1:26" x14ac:dyDescent="0.3">
      <c r="V213" s="356"/>
      <c r="W213" s="356"/>
      <c r="X213" s="356"/>
      <c r="Y213" s="357"/>
      <c r="Z213" s="357"/>
    </row>
    <row r="214" spans="1:26" x14ac:dyDescent="0.3">
      <c r="C214" s="312">
        <v>95995.746333333373</v>
      </c>
      <c r="D214" s="312">
        <v>70552.033999999985</v>
      </c>
      <c r="E214" s="312">
        <v>25443.712333333333</v>
      </c>
      <c r="F214" s="312">
        <v>95995.746333333373</v>
      </c>
      <c r="G214" s="312">
        <v>0</v>
      </c>
      <c r="H214" s="312">
        <v>0</v>
      </c>
      <c r="I214" s="312">
        <v>29967.190300000002</v>
      </c>
      <c r="J214" s="312">
        <v>6158.5507000000016</v>
      </c>
      <c r="K214" s="312">
        <v>7099.5746333333373</v>
      </c>
      <c r="L214" s="312">
        <v>7099.5746333333373</v>
      </c>
      <c r="M214" s="312">
        <v>7099.5746333333373</v>
      </c>
      <c r="N214" s="312">
        <v>7099.5746333333373</v>
      </c>
      <c r="O214" s="312">
        <v>7099.5746333333373</v>
      </c>
      <c r="P214" s="312">
        <v>7099.5746333333373</v>
      </c>
      <c r="Q214" s="312">
        <v>7099.5746333333373</v>
      </c>
      <c r="R214" s="312">
        <v>7099.5746333333373</v>
      </c>
      <c r="S214" s="312">
        <v>2132.3843333333334</v>
      </c>
      <c r="T214" s="312">
        <v>941.02393333333316</v>
      </c>
      <c r="U214" s="312">
        <v>0</v>
      </c>
    </row>
    <row r="216" spans="1:26" x14ac:dyDescent="0.3">
      <c r="C216" s="378">
        <f>C208-C214</f>
        <v>0</v>
      </c>
      <c r="D216" s="378">
        <f t="shared" ref="D216:U216" si="125">D208-D214</f>
        <v>0</v>
      </c>
      <c r="E216" s="378">
        <f t="shared" si="125"/>
        <v>0</v>
      </c>
      <c r="F216" s="378">
        <f t="shared" si="125"/>
        <v>0</v>
      </c>
      <c r="G216" s="378">
        <f t="shared" si="125"/>
        <v>0</v>
      </c>
      <c r="H216" s="378">
        <f t="shared" si="125"/>
        <v>0</v>
      </c>
      <c r="I216" s="378">
        <f t="shared" si="125"/>
        <v>0</v>
      </c>
      <c r="J216" s="378">
        <f t="shared" si="125"/>
        <v>0</v>
      </c>
      <c r="K216" s="378">
        <f t="shared" si="125"/>
        <v>0</v>
      </c>
      <c r="L216" s="378">
        <f t="shared" si="125"/>
        <v>0</v>
      </c>
      <c r="M216" s="378">
        <f t="shared" si="125"/>
        <v>0</v>
      </c>
      <c r="N216" s="378">
        <f t="shared" si="125"/>
        <v>0</v>
      </c>
      <c r="O216" s="378">
        <f t="shared" si="125"/>
        <v>0</v>
      </c>
      <c r="P216" s="378">
        <f t="shared" si="125"/>
        <v>0</v>
      </c>
      <c r="Q216" s="378">
        <f t="shared" si="125"/>
        <v>0</v>
      </c>
      <c r="R216" s="378">
        <f t="shared" si="125"/>
        <v>0</v>
      </c>
      <c r="S216" s="378">
        <f t="shared" si="125"/>
        <v>0</v>
      </c>
      <c r="T216" s="378">
        <f t="shared" si="125"/>
        <v>0</v>
      </c>
      <c r="U216" s="378">
        <f t="shared" si="125"/>
        <v>0</v>
      </c>
    </row>
    <row r="220" spans="1:26" x14ac:dyDescent="0.3">
      <c r="F220" s="358"/>
      <c r="G220" s="358"/>
      <c r="H220" s="358"/>
      <c r="I220" s="358"/>
      <c r="J220" s="358"/>
      <c r="K220" s="358"/>
      <c r="L220" s="358"/>
      <c r="M220" s="358"/>
      <c r="N220" s="358"/>
      <c r="O220" s="358"/>
      <c r="P220" s="358"/>
      <c r="Q220" s="358"/>
      <c r="R220" s="358"/>
      <c r="S220" s="358"/>
      <c r="T220" s="358"/>
      <c r="U220" s="358"/>
    </row>
    <row r="221" spans="1:26" x14ac:dyDescent="0.3">
      <c r="F221" s="358"/>
      <c r="G221" s="358"/>
      <c r="H221" s="358"/>
      <c r="I221" s="358"/>
      <c r="J221" s="358"/>
      <c r="K221" s="358"/>
      <c r="L221" s="358"/>
      <c r="M221" s="358"/>
      <c r="N221" s="358"/>
      <c r="O221" s="358"/>
      <c r="P221" s="358"/>
      <c r="Q221" s="358"/>
      <c r="R221" s="358"/>
      <c r="S221" s="358"/>
      <c r="T221" s="358"/>
      <c r="U221" s="358"/>
    </row>
    <row r="222" spans="1:26" x14ac:dyDescent="0.3">
      <c r="F222" s="358"/>
      <c r="G222" s="358"/>
      <c r="H222" s="358"/>
      <c r="I222" s="358"/>
      <c r="J222" s="358"/>
      <c r="K222" s="358"/>
      <c r="L222" s="358"/>
      <c r="M222" s="358"/>
      <c r="N222" s="358"/>
      <c r="O222" s="358"/>
      <c r="P222" s="358"/>
      <c r="Q222" s="358"/>
      <c r="R222" s="358"/>
      <c r="S222" s="358"/>
      <c r="T222" s="358"/>
      <c r="U222" s="358"/>
    </row>
    <row r="223" spans="1:26" x14ac:dyDescent="0.3">
      <c r="F223" s="358"/>
      <c r="G223" s="358"/>
      <c r="H223" s="358"/>
      <c r="I223" s="358"/>
      <c r="J223" s="358"/>
      <c r="K223" s="358"/>
      <c r="L223" s="358"/>
      <c r="M223" s="358"/>
      <c r="N223" s="358"/>
      <c r="O223" s="358"/>
      <c r="P223" s="358"/>
      <c r="Q223" s="358"/>
      <c r="R223" s="358"/>
      <c r="S223" s="358"/>
      <c r="T223" s="358"/>
      <c r="U223" s="358"/>
    </row>
    <row r="224" spans="1:26" x14ac:dyDescent="0.3">
      <c r="F224" s="358"/>
      <c r="G224" s="358"/>
      <c r="H224" s="358"/>
      <c r="I224" s="358"/>
      <c r="J224" s="358"/>
      <c r="K224" s="358"/>
      <c r="L224" s="358"/>
      <c r="M224" s="358"/>
      <c r="N224" s="358"/>
      <c r="O224" s="358"/>
      <c r="P224" s="358"/>
      <c r="Q224" s="358"/>
      <c r="R224" s="358"/>
      <c r="S224" s="358"/>
      <c r="T224" s="358"/>
      <c r="U224" s="358"/>
    </row>
    <row r="225" spans="6:21" x14ac:dyDescent="0.3">
      <c r="F225" s="359"/>
      <c r="G225" s="359"/>
      <c r="H225" s="359"/>
      <c r="I225" s="359"/>
      <c r="J225" s="359"/>
      <c r="K225" s="359"/>
      <c r="L225" s="359"/>
      <c r="M225" s="359"/>
      <c r="N225" s="359"/>
      <c r="O225" s="359"/>
      <c r="P225" s="359"/>
      <c r="Q225" s="359"/>
      <c r="R225" s="359"/>
      <c r="S225" s="359"/>
      <c r="T225" s="359"/>
      <c r="U225" s="359"/>
    </row>
    <row r="226" spans="6:21" x14ac:dyDescent="0.3">
      <c r="F226" s="360"/>
      <c r="G226" s="360"/>
      <c r="H226" s="360"/>
      <c r="I226" s="360"/>
      <c r="J226" s="360"/>
      <c r="K226" s="360"/>
      <c r="L226" s="360"/>
      <c r="M226" s="360"/>
      <c r="N226" s="360"/>
      <c r="O226" s="360"/>
      <c r="P226" s="360"/>
      <c r="Q226" s="360"/>
      <c r="R226" s="360"/>
      <c r="S226" s="360"/>
      <c r="T226" s="360"/>
      <c r="U226" s="360"/>
    </row>
    <row r="227" spans="6:21" x14ac:dyDescent="0.3">
      <c r="F227" s="358"/>
      <c r="G227" s="358"/>
      <c r="H227" s="358"/>
      <c r="I227" s="358"/>
      <c r="J227" s="358"/>
      <c r="K227" s="358"/>
      <c r="L227" s="358"/>
      <c r="M227" s="358"/>
      <c r="N227" s="358"/>
      <c r="O227" s="358"/>
      <c r="P227" s="358"/>
      <c r="Q227" s="358"/>
      <c r="R227" s="358"/>
      <c r="S227" s="358"/>
      <c r="T227" s="358"/>
      <c r="U227" s="358"/>
    </row>
    <row r="228" spans="6:21" x14ac:dyDescent="0.3">
      <c r="F228" s="358"/>
      <c r="G228" s="358"/>
      <c r="H228" s="358"/>
      <c r="I228" s="358"/>
      <c r="J228" s="358"/>
      <c r="K228" s="358"/>
      <c r="L228" s="358"/>
      <c r="M228" s="358"/>
      <c r="N228" s="358"/>
      <c r="O228" s="358"/>
      <c r="P228" s="358"/>
      <c r="Q228" s="358"/>
      <c r="R228" s="358"/>
      <c r="S228" s="358"/>
      <c r="T228" s="358"/>
      <c r="U228" s="358"/>
    </row>
    <row r="229" spans="6:21" x14ac:dyDescent="0.3">
      <c r="F229" s="358"/>
      <c r="G229" s="358"/>
      <c r="H229" s="358"/>
      <c r="I229" s="358"/>
      <c r="J229" s="358"/>
      <c r="K229" s="358"/>
      <c r="L229" s="358"/>
      <c r="M229" s="358"/>
      <c r="N229" s="358"/>
      <c r="O229" s="358"/>
      <c r="P229" s="358"/>
      <c r="Q229" s="358"/>
      <c r="R229" s="358"/>
      <c r="S229" s="358"/>
      <c r="T229" s="358"/>
      <c r="U229" s="358"/>
    </row>
    <row r="230" spans="6:21" x14ac:dyDescent="0.3">
      <c r="F230" s="358"/>
      <c r="G230" s="358"/>
      <c r="H230" s="358"/>
      <c r="I230" s="358"/>
      <c r="J230" s="358"/>
      <c r="K230" s="358"/>
      <c r="L230" s="358"/>
      <c r="M230" s="358"/>
      <c r="N230" s="358"/>
      <c r="O230" s="358"/>
      <c r="P230" s="358"/>
      <c r="Q230" s="358"/>
      <c r="R230" s="358"/>
      <c r="S230" s="358"/>
      <c r="T230" s="358"/>
      <c r="U230" s="358"/>
    </row>
    <row r="231" spans="6:21" x14ac:dyDescent="0.3">
      <c r="F231" s="358"/>
      <c r="G231" s="358"/>
      <c r="H231" s="358"/>
      <c r="I231" s="358"/>
      <c r="J231" s="358"/>
      <c r="K231" s="358"/>
      <c r="L231" s="358"/>
      <c r="M231" s="358"/>
      <c r="N231" s="358"/>
      <c r="O231" s="358"/>
      <c r="P231" s="358"/>
      <c r="Q231" s="358"/>
      <c r="R231" s="358"/>
      <c r="S231" s="358"/>
      <c r="T231" s="358"/>
      <c r="U231" s="358"/>
    </row>
    <row r="232" spans="6:21" x14ac:dyDescent="0.3">
      <c r="F232" s="358"/>
      <c r="G232" s="358"/>
      <c r="H232" s="358"/>
      <c r="I232" s="358"/>
      <c r="J232" s="358"/>
      <c r="K232" s="358"/>
      <c r="L232" s="358"/>
      <c r="M232" s="358"/>
      <c r="N232" s="358"/>
      <c r="O232" s="358"/>
      <c r="P232" s="358"/>
      <c r="Q232" s="358"/>
      <c r="R232" s="358"/>
      <c r="S232" s="358"/>
      <c r="T232" s="358"/>
      <c r="U232" s="358"/>
    </row>
    <row r="233" spans="6:21" x14ac:dyDescent="0.3">
      <c r="F233" s="358"/>
      <c r="G233" s="358"/>
      <c r="H233" s="358"/>
      <c r="I233" s="358"/>
      <c r="J233" s="358"/>
      <c r="K233" s="358"/>
      <c r="L233" s="358"/>
      <c r="M233" s="358"/>
      <c r="N233" s="358"/>
      <c r="O233" s="358"/>
      <c r="P233" s="358"/>
      <c r="Q233" s="358"/>
      <c r="R233" s="358"/>
      <c r="S233" s="358"/>
      <c r="T233" s="358"/>
      <c r="U233" s="358"/>
    </row>
    <row r="234" spans="6:21" x14ac:dyDescent="0.3">
      <c r="F234" s="358"/>
      <c r="G234" s="358"/>
      <c r="H234" s="358"/>
      <c r="I234" s="358"/>
      <c r="J234" s="358"/>
      <c r="K234" s="358"/>
      <c r="L234" s="358"/>
      <c r="M234" s="358"/>
      <c r="N234" s="358"/>
      <c r="O234" s="358"/>
      <c r="P234" s="358"/>
      <c r="Q234" s="358"/>
      <c r="R234" s="358"/>
      <c r="S234" s="358"/>
      <c r="T234" s="358"/>
      <c r="U234" s="358"/>
    </row>
    <row r="235" spans="6:21" x14ac:dyDescent="0.3">
      <c r="F235" s="358"/>
      <c r="G235" s="358"/>
      <c r="H235" s="358"/>
      <c r="I235" s="358"/>
      <c r="J235" s="358"/>
      <c r="K235" s="358"/>
      <c r="L235" s="358"/>
      <c r="M235" s="358"/>
      <c r="N235" s="358"/>
      <c r="O235" s="358"/>
      <c r="P235" s="358"/>
      <c r="Q235" s="358"/>
      <c r="R235" s="358"/>
      <c r="S235" s="358"/>
      <c r="T235" s="358"/>
      <c r="U235" s="358"/>
    </row>
    <row r="236" spans="6:21" x14ac:dyDescent="0.3">
      <c r="F236" s="358"/>
      <c r="G236" s="358"/>
      <c r="H236" s="358"/>
      <c r="I236" s="358"/>
      <c r="J236" s="358"/>
      <c r="K236" s="358"/>
      <c r="L236" s="358"/>
      <c r="M236" s="358"/>
      <c r="N236" s="358"/>
      <c r="O236" s="358"/>
      <c r="P236" s="358"/>
      <c r="Q236" s="358"/>
      <c r="R236" s="358"/>
      <c r="S236" s="358"/>
      <c r="T236" s="358"/>
      <c r="U236" s="358"/>
    </row>
    <row r="237" spans="6:21" x14ac:dyDescent="0.3">
      <c r="F237" s="358"/>
      <c r="G237" s="358"/>
      <c r="H237" s="358"/>
      <c r="I237" s="358"/>
      <c r="J237" s="358"/>
      <c r="K237" s="358"/>
      <c r="L237" s="358"/>
      <c r="M237" s="358"/>
      <c r="N237" s="358"/>
      <c r="O237" s="358"/>
      <c r="P237" s="358"/>
      <c r="Q237" s="358"/>
      <c r="R237" s="358"/>
      <c r="S237" s="358"/>
      <c r="T237" s="358"/>
      <c r="U237" s="358"/>
    </row>
    <row r="238" spans="6:21" x14ac:dyDescent="0.3">
      <c r="F238" s="358"/>
      <c r="G238" s="358"/>
      <c r="H238" s="358"/>
      <c r="I238" s="358"/>
      <c r="J238" s="358"/>
      <c r="K238" s="358"/>
      <c r="L238" s="358"/>
      <c r="M238" s="358"/>
      <c r="N238" s="358"/>
      <c r="O238" s="358"/>
      <c r="P238" s="358"/>
      <c r="Q238" s="358"/>
      <c r="R238" s="358"/>
      <c r="S238" s="358"/>
      <c r="T238" s="358"/>
      <c r="U238" s="358"/>
    </row>
    <row r="239" spans="6:21" x14ac:dyDescent="0.3">
      <c r="F239" s="358"/>
      <c r="G239" s="358"/>
      <c r="H239" s="358"/>
      <c r="I239" s="358"/>
      <c r="J239" s="358"/>
      <c r="K239" s="358"/>
      <c r="L239" s="358"/>
      <c r="M239" s="358"/>
      <c r="N239" s="358"/>
      <c r="O239" s="358"/>
      <c r="P239" s="358"/>
      <c r="Q239" s="358"/>
      <c r="R239" s="358"/>
      <c r="S239" s="358"/>
      <c r="T239" s="358"/>
      <c r="U239" s="358"/>
    </row>
    <row r="241" spans="6:21" x14ac:dyDescent="0.3">
      <c r="F241" s="359"/>
      <c r="G241" s="359"/>
      <c r="H241" s="359"/>
      <c r="I241" s="359"/>
      <c r="J241" s="359"/>
      <c r="K241" s="359"/>
      <c r="L241" s="359"/>
      <c r="M241" s="359"/>
      <c r="N241" s="359"/>
      <c r="O241" s="359"/>
      <c r="P241" s="359"/>
      <c r="Q241" s="359"/>
      <c r="R241" s="359"/>
      <c r="S241" s="359"/>
      <c r="T241" s="359"/>
      <c r="U241" s="359"/>
    </row>
    <row r="243" spans="6:21" x14ac:dyDescent="0.3">
      <c r="F243" s="360"/>
      <c r="G243" s="360"/>
      <c r="H243" s="360"/>
      <c r="I243" s="360"/>
      <c r="J243" s="360"/>
      <c r="K243" s="360"/>
      <c r="L243" s="360"/>
      <c r="M243" s="360"/>
      <c r="N243" s="360"/>
      <c r="O243" s="360"/>
      <c r="P243" s="360"/>
      <c r="Q243" s="360"/>
      <c r="R243" s="360"/>
      <c r="S243" s="360"/>
      <c r="T243" s="360"/>
      <c r="U243" s="360"/>
    </row>
    <row r="244" spans="6:21" x14ac:dyDescent="0.3">
      <c r="F244" s="358"/>
      <c r="G244" s="358"/>
      <c r="H244" s="358"/>
      <c r="I244" s="358"/>
      <c r="J244" s="358"/>
      <c r="K244" s="358"/>
      <c r="L244" s="358"/>
      <c r="M244" s="358"/>
      <c r="N244" s="358"/>
      <c r="O244" s="358"/>
      <c r="P244" s="358"/>
      <c r="Q244" s="358"/>
      <c r="R244" s="358"/>
      <c r="S244" s="358"/>
      <c r="T244" s="358"/>
      <c r="U244" s="358"/>
    </row>
    <row r="245" spans="6:21" x14ac:dyDescent="0.3">
      <c r="F245" s="358"/>
      <c r="G245" s="358"/>
      <c r="H245" s="358"/>
      <c r="I245" s="358"/>
      <c r="J245" s="358"/>
      <c r="K245" s="358"/>
      <c r="L245" s="358"/>
      <c r="M245" s="358"/>
      <c r="N245" s="358"/>
      <c r="O245" s="358"/>
      <c r="P245" s="358"/>
      <c r="Q245" s="358"/>
      <c r="R245" s="358"/>
      <c r="S245" s="358"/>
      <c r="T245" s="358"/>
      <c r="U245" s="358"/>
    </row>
    <row r="246" spans="6:21" x14ac:dyDescent="0.3">
      <c r="F246" s="358"/>
      <c r="G246" s="358"/>
      <c r="H246" s="358"/>
      <c r="I246" s="358"/>
      <c r="J246" s="358"/>
      <c r="K246" s="358"/>
      <c r="L246" s="358"/>
      <c r="M246" s="358"/>
      <c r="N246" s="358"/>
      <c r="O246" s="358"/>
      <c r="P246" s="358"/>
      <c r="Q246" s="358"/>
      <c r="R246" s="358"/>
      <c r="S246" s="358"/>
      <c r="T246" s="358"/>
      <c r="U246" s="358"/>
    </row>
    <row r="247" spans="6:21" x14ac:dyDescent="0.3">
      <c r="F247" s="358"/>
      <c r="G247" s="358"/>
      <c r="H247" s="358"/>
      <c r="I247" s="358"/>
      <c r="J247" s="358"/>
      <c r="K247" s="358"/>
      <c r="L247" s="358"/>
      <c r="M247" s="358"/>
      <c r="N247" s="358"/>
      <c r="O247" s="358"/>
      <c r="P247" s="358"/>
      <c r="Q247" s="358"/>
      <c r="R247" s="358"/>
      <c r="S247" s="358"/>
      <c r="T247" s="358"/>
      <c r="U247" s="358"/>
    </row>
    <row r="248" spans="6:21" x14ac:dyDescent="0.3">
      <c r="F248" s="358"/>
      <c r="G248" s="358"/>
      <c r="H248" s="358"/>
      <c r="I248" s="358"/>
      <c r="J248" s="358"/>
      <c r="K248" s="358"/>
      <c r="L248" s="358"/>
      <c r="M248" s="358"/>
      <c r="N248" s="358"/>
      <c r="O248" s="358"/>
      <c r="P248" s="358"/>
      <c r="Q248" s="358"/>
      <c r="R248" s="358"/>
      <c r="S248" s="358"/>
      <c r="T248" s="358"/>
      <c r="U248" s="358"/>
    </row>
    <row r="249" spans="6:21" x14ac:dyDescent="0.3">
      <c r="F249" s="358"/>
      <c r="G249" s="358"/>
      <c r="H249" s="358"/>
      <c r="I249" s="358"/>
      <c r="J249" s="358"/>
      <c r="K249" s="358"/>
      <c r="L249" s="358"/>
      <c r="M249" s="358"/>
      <c r="N249" s="358"/>
      <c r="O249" s="358"/>
      <c r="P249" s="358"/>
      <c r="Q249" s="358"/>
      <c r="R249" s="358"/>
      <c r="S249" s="358"/>
      <c r="T249" s="358"/>
      <c r="U249" s="358"/>
    </row>
    <row r="250" spans="6:21" x14ac:dyDescent="0.3">
      <c r="F250" s="358"/>
      <c r="G250" s="358"/>
      <c r="H250" s="358"/>
      <c r="I250" s="358"/>
      <c r="J250" s="358"/>
      <c r="K250" s="358"/>
      <c r="L250" s="358"/>
      <c r="M250" s="358"/>
      <c r="N250" s="358"/>
      <c r="O250" s="358"/>
      <c r="P250" s="358"/>
      <c r="Q250" s="358"/>
      <c r="R250" s="358"/>
      <c r="S250" s="358"/>
      <c r="T250" s="358"/>
      <c r="U250" s="358"/>
    </row>
    <row r="251" spans="6:21" x14ac:dyDescent="0.3">
      <c r="F251" s="358"/>
      <c r="G251" s="358"/>
      <c r="H251" s="358"/>
      <c r="I251" s="358"/>
      <c r="J251" s="358"/>
      <c r="K251" s="358"/>
      <c r="L251" s="358"/>
      <c r="M251" s="358"/>
      <c r="N251" s="358"/>
      <c r="O251" s="358"/>
      <c r="P251" s="358"/>
      <c r="Q251" s="358"/>
      <c r="R251" s="358"/>
      <c r="S251" s="358"/>
      <c r="T251" s="358"/>
      <c r="U251" s="358"/>
    </row>
    <row r="252" spans="6:21" x14ac:dyDescent="0.3">
      <c r="F252" s="358"/>
      <c r="G252" s="358"/>
      <c r="H252" s="358"/>
      <c r="I252" s="358"/>
      <c r="J252" s="358"/>
      <c r="K252" s="358"/>
      <c r="L252" s="358"/>
      <c r="M252" s="358"/>
      <c r="N252" s="358"/>
      <c r="O252" s="358"/>
      <c r="P252" s="358"/>
      <c r="Q252" s="358"/>
      <c r="R252" s="358"/>
      <c r="S252" s="358"/>
      <c r="T252" s="358"/>
      <c r="U252" s="358"/>
    </row>
    <row r="253" spans="6:21" x14ac:dyDescent="0.3">
      <c r="F253" s="358"/>
      <c r="G253" s="358"/>
      <c r="H253" s="358"/>
      <c r="I253" s="358"/>
      <c r="J253" s="358"/>
      <c r="K253" s="358"/>
      <c r="L253" s="358"/>
      <c r="M253" s="358"/>
      <c r="N253" s="358"/>
      <c r="O253" s="358"/>
      <c r="P253" s="358"/>
      <c r="Q253" s="358"/>
      <c r="R253" s="358"/>
      <c r="S253" s="358"/>
      <c r="T253" s="358"/>
      <c r="U253" s="358"/>
    </row>
    <row r="254" spans="6:21" x14ac:dyDescent="0.3">
      <c r="F254" s="358"/>
      <c r="G254" s="358"/>
      <c r="H254" s="358"/>
      <c r="I254" s="358"/>
      <c r="J254" s="358"/>
      <c r="K254" s="358"/>
      <c r="L254" s="358"/>
      <c r="M254" s="358"/>
      <c r="N254" s="358"/>
      <c r="O254" s="358"/>
      <c r="P254" s="358"/>
      <c r="Q254" s="358"/>
      <c r="R254" s="358"/>
      <c r="S254" s="358"/>
      <c r="T254" s="358"/>
      <c r="U254" s="358"/>
    </row>
    <row r="255" spans="6:21" x14ac:dyDescent="0.3">
      <c r="F255" s="358"/>
      <c r="G255" s="358"/>
      <c r="H255" s="358"/>
      <c r="I255" s="358"/>
      <c r="J255" s="358"/>
      <c r="K255" s="358"/>
      <c r="L255" s="358"/>
      <c r="M255" s="358"/>
      <c r="N255" s="358"/>
      <c r="O255" s="358"/>
      <c r="P255" s="358"/>
      <c r="Q255" s="358"/>
      <c r="R255" s="358"/>
      <c r="S255" s="358"/>
      <c r="T255" s="358"/>
      <c r="U255" s="358"/>
    </row>
    <row r="256" spans="6:21" x14ac:dyDescent="0.3">
      <c r="F256" s="358"/>
      <c r="G256" s="358"/>
      <c r="H256" s="358"/>
      <c r="I256" s="358"/>
      <c r="J256" s="358"/>
      <c r="K256" s="358"/>
      <c r="L256" s="358"/>
      <c r="M256" s="358"/>
      <c r="N256" s="358"/>
      <c r="O256" s="358"/>
      <c r="P256" s="358"/>
      <c r="Q256" s="358"/>
      <c r="R256" s="358"/>
      <c r="S256" s="358"/>
      <c r="T256" s="358"/>
      <c r="U256" s="358"/>
    </row>
    <row r="258" spans="6:21" x14ac:dyDescent="0.3">
      <c r="F258" s="359"/>
      <c r="G258" s="359"/>
      <c r="H258" s="359"/>
      <c r="I258" s="359"/>
      <c r="J258" s="359"/>
      <c r="K258" s="359"/>
      <c r="L258" s="359"/>
      <c r="M258" s="359"/>
      <c r="N258" s="359"/>
      <c r="O258" s="359"/>
      <c r="P258" s="359"/>
      <c r="Q258" s="359"/>
      <c r="R258" s="359"/>
      <c r="S258" s="359"/>
      <c r="T258" s="359"/>
      <c r="U258" s="359"/>
    </row>
    <row r="259" spans="6:21" x14ac:dyDescent="0.3">
      <c r="F259" s="360"/>
      <c r="G259" s="360"/>
      <c r="H259" s="360"/>
      <c r="I259" s="360"/>
      <c r="J259" s="360"/>
      <c r="K259" s="360"/>
      <c r="L259" s="360"/>
      <c r="M259" s="360"/>
      <c r="N259" s="360"/>
      <c r="O259" s="360"/>
      <c r="P259" s="360"/>
      <c r="Q259" s="360"/>
      <c r="R259" s="360"/>
      <c r="S259" s="360"/>
      <c r="T259" s="360"/>
      <c r="U259" s="360"/>
    </row>
    <row r="260" spans="6:21" ht="19.5" x14ac:dyDescent="0.35">
      <c r="F260" s="361"/>
      <c r="G260" s="361"/>
      <c r="H260" s="361"/>
      <c r="I260" s="361"/>
      <c r="J260" s="361"/>
      <c r="K260" s="361"/>
      <c r="L260" s="361"/>
      <c r="M260" s="361"/>
      <c r="N260" s="361"/>
      <c r="O260" s="361"/>
      <c r="P260" s="361"/>
      <c r="Q260" s="361"/>
      <c r="R260" s="361"/>
      <c r="S260" s="361"/>
      <c r="T260" s="361"/>
      <c r="U260" s="361"/>
    </row>
  </sheetData>
  <mergeCells count="29">
    <mergeCell ref="A210:M210"/>
    <mergeCell ref="A13:V13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A103:V103"/>
    <mergeCell ref="I4:U4"/>
    <mergeCell ref="A9:A11"/>
    <mergeCell ref="B9:B11"/>
    <mergeCell ref="C9:U9"/>
    <mergeCell ref="V9:V11"/>
    <mergeCell ref="C10:C11"/>
    <mergeCell ref="D10:E10"/>
    <mergeCell ref="F10:F11"/>
    <mergeCell ref="G10:G11"/>
    <mergeCell ref="H10:H11"/>
    <mergeCell ref="I10:I11"/>
    <mergeCell ref="J10:J11"/>
    <mergeCell ref="A5:N5"/>
    <mergeCell ref="A6:N6"/>
    <mergeCell ref="A7:N7"/>
  </mergeCells>
  <pageMargins left="0.70866141732283472" right="0.31496062992125984" top="0.55118110236220474" bottom="0.55118110236220474" header="0.31496062992125984" footer="0.31496062992125984"/>
  <pageSetup paperSize="9" scale="50" fitToHeight="1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10"/>
  <sheetViews>
    <sheetView topLeftCell="A45" workbookViewId="0">
      <selection activeCell="D67" sqref="D67"/>
    </sheetView>
  </sheetViews>
  <sheetFormatPr defaultColWidth="9.140625" defaultRowHeight="15" x14ac:dyDescent="0.25"/>
  <cols>
    <col min="1" max="1" width="10.5703125" style="136" customWidth="1"/>
    <col min="2" max="2" width="38.42578125" style="111" customWidth="1"/>
    <col min="3" max="21" width="13.7109375" style="111" customWidth="1"/>
    <col min="22" max="22" width="13.7109375" style="110" customWidth="1"/>
    <col min="23" max="24" width="9.140625" style="110"/>
    <col min="25" max="16384" width="9.140625" style="111"/>
  </cols>
  <sheetData>
    <row r="1" spans="1:24" ht="15.75" x14ac:dyDescent="0.25">
      <c r="A1" s="107"/>
      <c r="B1" s="108"/>
      <c r="C1" s="108"/>
      <c r="D1" s="108"/>
      <c r="E1" s="108"/>
      <c r="F1" s="108"/>
      <c r="G1" s="108"/>
      <c r="H1" s="108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</row>
    <row r="2" spans="1:24" ht="15.75" x14ac:dyDescent="0.25">
      <c r="A2" s="107"/>
      <c r="B2" s="108"/>
      <c r="C2" s="108"/>
      <c r="D2" s="108"/>
      <c r="E2" s="108"/>
      <c r="F2" s="108"/>
      <c r="G2" s="108"/>
      <c r="H2" s="10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</row>
    <row r="3" spans="1:24" s="113" customFormat="1" ht="18.75" x14ac:dyDescent="0.25">
      <c r="A3" s="469" t="s">
        <v>238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112"/>
      <c r="X3" s="112"/>
    </row>
    <row r="4" spans="1:24" s="113" customFormat="1" ht="18.75" x14ac:dyDescent="0.25">
      <c r="A4" s="470" t="s">
        <v>639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470"/>
      <c r="T4" s="470"/>
      <c r="U4" s="470"/>
      <c r="V4" s="470"/>
      <c r="W4" s="112"/>
      <c r="X4" s="112"/>
    </row>
    <row r="5" spans="1:24" s="113" customFormat="1" ht="18.75" x14ac:dyDescent="0.25">
      <c r="A5" s="470" t="s">
        <v>640</v>
      </c>
      <c r="B5" s="470"/>
      <c r="C5" s="470"/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0"/>
      <c r="P5" s="470"/>
      <c r="Q5" s="470"/>
      <c r="R5" s="470"/>
      <c r="S5" s="470"/>
      <c r="T5" s="470"/>
      <c r="U5" s="470"/>
      <c r="V5" s="470"/>
      <c r="W5" s="112"/>
      <c r="X5" s="112"/>
    </row>
    <row r="6" spans="1:24" s="113" customFormat="1" ht="18.75" x14ac:dyDescent="0.25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205"/>
      <c r="W6" s="112"/>
      <c r="X6" s="112"/>
    </row>
    <row r="7" spans="1:24" ht="15.75" x14ac:dyDescent="0.25">
      <c r="A7" s="471" t="s">
        <v>53</v>
      </c>
      <c r="B7" s="471" t="s">
        <v>197</v>
      </c>
      <c r="C7" s="472" t="s">
        <v>259</v>
      </c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3"/>
      <c r="O7" s="473"/>
      <c r="P7" s="473"/>
      <c r="Q7" s="473"/>
      <c r="R7" s="473"/>
      <c r="S7" s="473"/>
      <c r="T7" s="473"/>
      <c r="U7" s="473"/>
      <c r="V7" s="466" t="s">
        <v>239</v>
      </c>
      <c r="W7" s="115"/>
    </row>
    <row r="8" spans="1:24" ht="15.75" x14ac:dyDescent="0.25">
      <c r="A8" s="471"/>
      <c r="B8" s="471"/>
      <c r="C8" s="466" t="s">
        <v>198</v>
      </c>
      <c r="D8" s="475" t="s">
        <v>240</v>
      </c>
      <c r="E8" s="476"/>
      <c r="F8" s="466" t="s">
        <v>198</v>
      </c>
      <c r="G8" s="466">
        <v>2024</v>
      </c>
      <c r="H8" s="466">
        <f>G8+1</f>
        <v>2025</v>
      </c>
      <c r="I8" s="466">
        <f>H8+1</f>
        <v>2026</v>
      </c>
      <c r="J8" s="466">
        <f t="shared" ref="J8:L8" si="0">I8+1</f>
        <v>2027</v>
      </c>
      <c r="K8" s="466">
        <f t="shared" si="0"/>
        <v>2028</v>
      </c>
      <c r="L8" s="466">
        <f t="shared" si="0"/>
        <v>2029</v>
      </c>
      <c r="M8" s="466">
        <f>L8+1</f>
        <v>2030</v>
      </c>
      <c r="N8" s="466">
        <f>M8+1</f>
        <v>2031</v>
      </c>
      <c r="O8" s="466">
        <f t="shared" ref="O8" si="1">N8+1</f>
        <v>2032</v>
      </c>
      <c r="P8" s="466">
        <f>O8+1</f>
        <v>2033</v>
      </c>
      <c r="Q8" s="466">
        <f>P8+1</f>
        <v>2034</v>
      </c>
      <c r="R8" s="466">
        <f t="shared" ref="R8:S8" si="2">Q8+1</f>
        <v>2035</v>
      </c>
      <c r="S8" s="466">
        <f t="shared" si="2"/>
        <v>2036</v>
      </c>
      <c r="T8" s="466">
        <f>S8+1</f>
        <v>2037</v>
      </c>
      <c r="U8" s="466">
        <f>T8+1</f>
        <v>2038</v>
      </c>
      <c r="V8" s="474"/>
      <c r="W8" s="115"/>
    </row>
    <row r="9" spans="1:24" ht="47.25" x14ac:dyDescent="0.25">
      <c r="A9" s="471"/>
      <c r="B9" s="471"/>
      <c r="C9" s="467"/>
      <c r="D9" s="206" t="s">
        <v>179</v>
      </c>
      <c r="E9" s="204" t="s">
        <v>241</v>
      </c>
      <c r="F9" s="467"/>
      <c r="G9" s="467"/>
      <c r="H9" s="467"/>
      <c r="I9" s="467"/>
      <c r="J9" s="467"/>
      <c r="K9" s="467"/>
      <c r="L9" s="467"/>
      <c r="M9" s="467"/>
      <c r="N9" s="467"/>
      <c r="O9" s="467"/>
      <c r="P9" s="467"/>
      <c r="Q9" s="467"/>
      <c r="R9" s="467"/>
      <c r="S9" s="467"/>
      <c r="T9" s="467"/>
      <c r="U9" s="467"/>
      <c r="V9" s="467"/>
      <c r="W9" s="115"/>
    </row>
    <row r="10" spans="1:24" ht="15.75" x14ac:dyDescent="0.25">
      <c r="A10" s="206">
        <f>COLUMN()</f>
        <v>1</v>
      </c>
      <c r="B10" s="206">
        <f>COLUMN()</f>
        <v>2</v>
      </c>
      <c r="C10" s="206">
        <f>COLUMN()</f>
        <v>3</v>
      </c>
      <c r="D10" s="206" t="s">
        <v>182</v>
      </c>
      <c r="E10" s="206" t="s">
        <v>183</v>
      </c>
      <c r="F10" s="206">
        <v>4</v>
      </c>
      <c r="G10" s="206">
        <v>5</v>
      </c>
      <c r="H10" s="206">
        <v>6</v>
      </c>
      <c r="I10" s="206">
        <f t="shared" ref="I10:V10" si="3">H10+1</f>
        <v>7</v>
      </c>
      <c r="J10" s="206">
        <f t="shared" si="3"/>
        <v>8</v>
      </c>
      <c r="K10" s="206">
        <f t="shared" si="3"/>
        <v>9</v>
      </c>
      <c r="L10" s="206">
        <f t="shared" si="3"/>
        <v>10</v>
      </c>
      <c r="M10" s="206">
        <f t="shared" si="3"/>
        <v>11</v>
      </c>
      <c r="N10" s="206">
        <f t="shared" si="3"/>
        <v>12</v>
      </c>
      <c r="O10" s="206">
        <f t="shared" si="3"/>
        <v>13</v>
      </c>
      <c r="P10" s="206">
        <f t="shared" si="3"/>
        <v>14</v>
      </c>
      <c r="Q10" s="206">
        <f t="shared" si="3"/>
        <v>15</v>
      </c>
      <c r="R10" s="206">
        <f t="shared" si="3"/>
        <v>16</v>
      </c>
      <c r="S10" s="206">
        <f t="shared" si="3"/>
        <v>17</v>
      </c>
      <c r="T10" s="206">
        <f t="shared" si="3"/>
        <v>18</v>
      </c>
      <c r="U10" s="206">
        <f t="shared" si="3"/>
        <v>19</v>
      </c>
      <c r="V10" s="206">
        <f t="shared" si="3"/>
        <v>20</v>
      </c>
      <c r="W10" s="115"/>
    </row>
    <row r="11" spans="1:24" ht="15.75" x14ac:dyDescent="0.25">
      <c r="A11" s="472" t="str">
        <f>B7</f>
        <v>Источники финансирования</v>
      </c>
      <c r="B11" s="473"/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473"/>
      <c r="N11" s="473"/>
      <c r="O11" s="473"/>
      <c r="P11" s="473"/>
      <c r="Q11" s="473"/>
      <c r="R11" s="473"/>
      <c r="S11" s="473"/>
      <c r="T11" s="473"/>
      <c r="U11" s="473"/>
      <c r="V11" s="479"/>
      <c r="W11" s="115"/>
    </row>
    <row r="12" spans="1:24" s="122" customFormat="1" ht="15.75" x14ac:dyDescent="0.25">
      <c r="A12" s="116" t="s">
        <v>29</v>
      </c>
      <c r="B12" s="117" t="s">
        <v>199</v>
      </c>
      <c r="C12" s="118">
        <f>E12</f>
        <v>0</v>
      </c>
      <c r="D12" s="118">
        <f>D13+D14+D15+D18+D19</f>
        <v>0</v>
      </c>
      <c r="E12" s="118">
        <f>E13+E14+E15+E18+E19</f>
        <v>0</v>
      </c>
      <c r="F12" s="118">
        <f>F13+F14+F15+F18+F19</f>
        <v>0</v>
      </c>
      <c r="G12" s="118">
        <f t="shared" ref="G12:U12" si="4">G13+G14+G15+G18+G19</f>
        <v>0</v>
      </c>
      <c r="H12" s="118">
        <f t="shared" si="4"/>
        <v>0</v>
      </c>
      <c r="I12" s="118">
        <f t="shared" si="4"/>
        <v>0</v>
      </c>
      <c r="J12" s="118">
        <f t="shared" si="4"/>
        <v>0</v>
      </c>
      <c r="K12" s="118">
        <f t="shared" si="4"/>
        <v>0</v>
      </c>
      <c r="L12" s="118">
        <f t="shared" si="4"/>
        <v>0</v>
      </c>
      <c r="M12" s="118">
        <f t="shared" si="4"/>
        <v>0</v>
      </c>
      <c r="N12" s="118">
        <f t="shared" si="4"/>
        <v>0</v>
      </c>
      <c r="O12" s="118">
        <f t="shared" si="4"/>
        <v>0</v>
      </c>
      <c r="P12" s="118">
        <f t="shared" si="4"/>
        <v>0</v>
      </c>
      <c r="Q12" s="118">
        <f t="shared" si="4"/>
        <v>0</v>
      </c>
      <c r="R12" s="118">
        <f t="shared" si="4"/>
        <v>0</v>
      </c>
      <c r="S12" s="118">
        <f t="shared" si="4"/>
        <v>0</v>
      </c>
      <c r="T12" s="118">
        <f t="shared" si="4"/>
        <v>0</v>
      </c>
      <c r="U12" s="118">
        <f t="shared" si="4"/>
        <v>0</v>
      </c>
      <c r="V12" s="119"/>
      <c r="W12" s="120"/>
      <c r="X12" s="121"/>
    </row>
    <row r="13" spans="1:24" ht="63" x14ac:dyDescent="0.25">
      <c r="A13" s="206" t="s">
        <v>242</v>
      </c>
      <c r="B13" s="123" t="s">
        <v>200</v>
      </c>
      <c r="C13" s="124">
        <f t="shared" ref="C13:C19" si="5">E13</f>
        <v>0</v>
      </c>
      <c r="D13" s="124">
        <v>0</v>
      </c>
      <c r="E13" s="124">
        <f>SUM(G13:S13)</f>
        <v>0</v>
      </c>
      <c r="F13" s="124">
        <f t="shared" ref="F13:F20" si="6">SUM(G13:U13)</f>
        <v>0</v>
      </c>
      <c r="G13" s="124">
        <v>0</v>
      </c>
      <c r="H13" s="124">
        <v>0</v>
      </c>
      <c r="I13" s="124">
        <v>0</v>
      </c>
      <c r="J13" s="124">
        <v>0</v>
      </c>
      <c r="K13" s="124">
        <v>0</v>
      </c>
      <c r="L13" s="124">
        <v>0</v>
      </c>
      <c r="M13" s="124">
        <v>0</v>
      </c>
      <c r="N13" s="124">
        <v>0</v>
      </c>
      <c r="O13" s="124">
        <v>0</v>
      </c>
      <c r="P13" s="124">
        <v>0</v>
      </c>
      <c r="Q13" s="124">
        <v>0</v>
      </c>
      <c r="R13" s="124">
        <v>0</v>
      </c>
      <c r="S13" s="124">
        <v>0</v>
      </c>
      <c r="T13" s="124">
        <v>0</v>
      </c>
      <c r="U13" s="124">
        <v>0</v>
      </c>
      <c r="V13" s="119"/>
      <c r="W13" s="115"/>
    </row>
    <row r="14" spans="1:24" ht="78.75" x14ac:dyDescent="0.25">
      <c r="A14" s="206" t="s">
        <v>243</v>
      </c>
      <c r="B14" s="123" t="s">
        <v>201</v>
      </c>
      <c r="C14" s="124">
        <f t="shared" si="5"/>
        <v>0</v>
      </c>
      <c r="D14" s="124">
        <v>0</v>
      </c>
      <c r="E14" s="124">
        <f>SUM(G14:S14)</f>
        <v>0</v>
      </c>
      <c r="F14" s="124">
        <f t="shared" si="6"/>
        <v>0</v>
      </c>
      <c r="G14" s="124">
        <v>0</v>
      </c>
      <c r="H14" s="124">
        <v>0</v>
      </c>
      <c r="I14" s="124">
        <v>0</v>
      </c>
      <c r="J14" s="124">
        <v>0</v>
      </c>
      <c r="K14" s="124">
        <v>0</v>
      </c>
      <c r="L14" s="124">
        <v>0</v>
      </c>
      <c r="M14" s="124">
        <v>0</v>
      </c>
      <c r="N14" s="124">
        <v>0</v>
      </c>
      <c r="O14" s="124">
        <v>0</v>
      </c>
      <c r="P14" s="124">
        <v>0</v>
      </c>
      <c r="Q14" s="124">
        <v>0</v>
      </c>
      <c r="R14" s="124">
        <v>0</v>
      </c>
      <c r="S14" s="124">
        <v>0</v>
      </c>
      <c r="T14" s="124">
        <v>0</v>
      </c>
      <c r="U14" s="124">
        <v>0</v>
      </c>
      <c r="V14" s="119"/>
      <c r="W14" s="115"/>
    </row>
    <row r="15" spans="1:24" ht="15.75" x14ac:dyDescent="0.25">
      <c r="A15" s="206" t="s">
        <v>244</v>
      </c>
      <c r="B15" s="123" t="s">
        <v>245</v>
      </c>
      <c r="C15" s="124">
        <v>0</v>
      </c>
      <c r="D15" s="124">
        <v>0</v>
      </c>
      <c r="E15" s="124">
        <v>0</v>
      </c>
      <c r="F15" s="124">
        <f t="shared" si="6"/>
        <v>0</v>
      </c>
      <c r="G15" s="124">
        <v>0</v>
      </c>
      <c r="H15" s="124">
        <v>0</v>
      </c>
      <c r="I15" s="124">
        <v>0</v>
      </c>
      <c r="J15" s="124">
        <v>0</v>
      </c>
      <c r="K15" s="124">
        <v>0</v>
      </c>
      <c r="L15" s="124">
        <v>0</v>
      </c>
      <c r="M15" s="124">
        <v>0</v>
      </c>
      <c r="N15" s="124">
        <v>0</v>
      </c>
      <c r="O15" s="124">
        <v>0</v>
      </c>
      <c r="P15" s="124">
        <v>0</v>
      </c>
      <c r="Q15" s="124">
        <v>0</v>
      </c>
      <c r="R15" s="124">
        <v>0</v>
      </c>
      <c r="S15" s="124">
        <v>0</v>
      </c>
      <c r="T15" s="124">
        <v>0</v>
      </c>
      <c r="U15" s="124">
        <v>0</v>
      </c>
      <c r="V15" s="119"/>
      <c r="W15" s="115"/>
    </row>
    <row r="16" spans="1:24" ht="47.25" x14ac:dyDescent="0.25">
      <c r="A16" s="206" t="s">
        <v>246</v>
      </c>
      <c r="B16" s="123" t="s">
        <v>202</v>
      </c>
      <c r="C16" s="124">
        <v>0</v>
      </c>
      <c r="D16" s="124">
        <v>0</v>
      </c>
      <c r="E16" s="124">
        <f>SUM(G16:S16)</f>
        <v>0</v>
      </c>
      <c r="F16" s="124">
        <f t="shared" si="6"/>
        <v>0</v>
      </c>
      <c r="G16" s="124">
        <v>0</v>
      </c>
      <c r="H16" s="124">
        <v>0</v>
      </c>
      <c r="I16" s="124">
        <v>0</v>
      </c>
      <c r="J16" s="124">
        <v>0</v>
      </c>
      <c r="K16" s="124">
        <v>0</v>
      </c>
      <c r="L16" s="124">
        <v>0</v>
      </c>
      <c r="M16" s="124">
        <v>0</v>
      </c>
      <c r="N16" s="124">
        <v>0</v>
      </c>
      <c r="O16" s="124">
        <v>0</v>
      </c>
      <c r="P16" s="124">
        <v>0</v>
      </c>
      <c r="Q16" s="124">
        <v>0</v>
      </c>
      <c r="R16" s="124">
        <v>0</v>
      </c>
      <c r="S16" s="124">
        <v>0</v>
      </c>
      <c r="T16" s="124">
        <v>0</v>
      </c>
      <c r="U16" s="124">
        <v>0</v>
      </c>
      <c r="V16" s="119"/>
      <c r="W16" s="115"/>
    </row>
    <row r="17" spans="1:24" s="122" customFormat="1" ht="141.75" x14ac:dyDescent="0.25">
      <c r="A17" s="206" t="s">
        <v>247</v>
      </c>
      <c r="B17" s="123" t="s">
        <v>248</v>
      </c>
      <c r="C17" s="124">
        <v>0</v>
      </c>
      <c r="D17" s="124">
        <v>0</v>
      </c>
      <c r="E17" s="124">
        <f>SUM(G17:S17)</f>
        <v>0</v>
      </c>
      <c r="F17" s="124">
        <f t="shared" si="6"/>
        <v>0</v>
      </c>
      <c r="G17" s="124">
        <v>0</v>
      </c>
      <c r="H17" s="124">
        <v>0</v>
      </c>
      <c r="I17" s="124">
        <v>0</v>
      </c>
      <c r="J17" s="124">
        <v>0</v>
      </c>
      <c r="K17" s="124">
        <v>0</v>
      </c>
      <c r="L17" s="124">
        <v>0</v>
      </c>
      <c r="M17" s="124">
        <v>0</v>
      </c>
      <c r="N17" s="124">
        <v>0</v>
      </c>
      <c r="O17" s="124">
        <v>0</v>
      </c>
      <c r="P17" s="124">
        <v>0</v>
      </c>
      <c r="Q17" s="124">
        <v>0</v>
      </c>
      <c r="R17" s="124">
        <v>0</v>
      </c>
      <c r="S17" s="124">
        <v>0</v>
      </c>
      <c r="T17" s="124">
        <v>0</v>
      </c>
      <c r="U17" s="124">
        <v>0</v>
      </c>
      <c r="V17" s="119"/>
      <c r="W17" s="120"/>
      <c r="X17" s="121"/>
    </row>
    <row r="18" spans="1:24" ht="110.25" x14ac:dyDescent="0.25">
      <c r="A18" s="206" t="s">
        <v>249</v>
      </c>
      <c r="B18" s="123" t="s">
        <v>203</v>
      </c>
      <c r="C18" s="124">
        <f t="shared" si="5"/>
        <v>0</v>
      </c>
      <c r="D18" s="124">
        <v>0</v>
      </c>
      <c r="E18" s="124">
        <f>SUM(G18:S18)</f>
        <v>0</v>
      </c>
      <c r="F18" s="124">
        <f t="shared" si="6"/>
        <v>0</v>
      </c>
      <c r="G18" s="124">
        <v>0</v>
      </c>
      <c r="H18" s="124">
        <v>0</v>
      </c>
      <c r="I18" s="124">
        <v>0</v>
      </c>
      <c r="J18" s="124">
        <v>0</v>
      </c>
      <c r="K18" s="124">
        <v>0</v>
      </c>
      <c r="L18" s="124">
        <v>0</v>
      </c>
      <c r="M18" s="124">
        <v>0</v>
      </c>
      <c r="N18" s="124">
        <v>0</v>
      </c>
      <c r="O18" s="124">
        <v>0</v>
      </c>
      <c r="P18" s="124">
        <v>0</v>
      </c>
      <c r="Q18" s="124">
        <v>0</v>
      </c>
      <c r="R18" s="124">
        <v>0</v>
      </c>
      <c r="S18" s="124">
        <v>0</v>
      </c>
      <c r="T18" s="124">
        <v>0</v>
      </c>
      <c r="U18" s="124">
        <v>0</v>
      </c>
      <c r="V18" s="119"/>
      <c r="W18" s="115"/>
    </row>
    <row r="19" spans="1:24" ht="47.25" x14ac:dyDescent="0.25">
      <c r="A19" s="206" t="s">
        <v>250</v>
      </c>
      <c r="B19" s="123" t="s">
        <v>204</v>
      </c>
      <c r="C19" s="124">
        <f t="shared" si="5"/>
        <v>0</v>
      </c>
      <c r="D19" s="124">
        <v>0</v>
      </c>
      <c r="E19" s="124">
        <f>SUM(G19:S19)</f>
        <v>0</v>
      </c>
      <c r="F19" s="124">
        <f t="shared" si="6"/>
        <v>0</v>
      </c>
      <c r="G19" s="124">
        <v>0</v>
      </c>
      <c r="H19" s="124">
        <v>0</v>
      </c>
      <c r="I19" s="124">
        <v>0</v>
      </c>
      <c r="J19" s="124">
        <v>0</v>
      </c>
      <c r="K19" s="124">
        <v>0</v>
      </c>
      <c r="L19" s="124">
        <v>0</v>
      </c>
      <c r="M19" s="124">
        <v>0</v>
      </c>
      <c r="N19" s="124">
        <v>0</v>
      </c>
      <c r="O19" s="124">
        <v>0</v>
      </c>
      <c r="P19" s="124">
        <v>0</v>
      </c>
      <c r="Q19" s="124">
        <v>0</v>
      </c>
      <c r="R19" s="124">
        <v>0</v>
      </c>
      <c r="S19" s="124">
        <v>0</v>
      </c>
      <c r="T19" s="124">
        <v>0</v>
      </c>
      <c r="U19" s="124">
        <v>0</v>
      </c>
      <c r="V19" s="119"/>
      <c r="W19" s="115"/>
    </row>
    <row r="20" spans="1:24" ht="47.25" x14ac:dyDescent="0.25">
      <c r="A20" s="116" t="s">
        <v>180</v>
      </c>
      <c r="B20" s="125" t="s">
        <v>205</v>
      </c>
      <c r="C20" s="118">
        <f t="shared" ref="C20:C22" si="7">D20+E20</f>
        <v>0</v>
      </c>
      <c r="D20" s="118">
        <v>0</v>
      </c>
      <c r="E20" s="118">
        <f>SUM(G20:S20)</f>
        <v>0</v>
      </c>
      <c r="F20" s="118">
        <f t="shared" si="6"/>
        <v>0</v>
      </c>
      <c r="G20" s="118">
        <v>0</v>
      </c>
      <c r="H20" s="118">
        <v>0</v>
      </c>
      <c r="I20" s="118">
        <v>0</v>
      </c>
      <c r="J20" s="118">
        <v>0</v>
      </c>
      <c r="K20" s="118">
        <v>0</v>
      </c>
      <c r="L20" s="118">
        <v>0</v>
      </c>
      <c r="M20" s="118">
        <v>0</v>
      </c>
      <c r="N20" s="118">
        <v>0</v>
      </c>
      <c r="O20" s="118">
        <v>0</v>
      </c>
      <c r="P20" s="118">
        <v>0</v>
      </c>
      <c r="Q20" s="118">
        <v>0</v>
      </c>
      <c r="R20" s="118">
        <v>0</v>
      </c>
      <c r="S20" s="118">
        <v>0</v>
      </c>
      <c r="T20" s="118">
        <v>0</v>
      </c>
      <c r="U20" s="118">
        <v>0</v>
      </c>
      <c r="V20" s="119"/>
      <c r="W20" s="115"/>
    </row>
    <row r="21" spans="1:24" s="122" customFormat="1" ht="31.5" x14ac:dyDescent="0.25">
      <c r="A21" s="116" t="s">
        <v>181</v>
      </c>
      <c r="B21" s="117" t="s">
        <v>206</v>
      </c>
      <c r="C21" s="118">
        <f t="shared" si="7"/>
        <v>70995.746333333329</v>
      </c>
      <c r="D21" s="118">
        <f t="shared" ref="D21:U21" si="8">D22+D23+D32</f>
        <v>45552.034</v>
      </c>
      <c r="E21" s="118">
        <f t="shared" si="8"/>
        <v>25443.712333333329</v>
      </c>
      <c r="F21" s="118">
        <f t="shared" si="8"/>
        <v>70995.746333333329</v>
      </c>
      <c r="G21" s="118">
        <f t="shared" si="8"/>
        <v>0</v>
      </c>
      <c r="H21" s="118">
        <f t="shared" si="8"/>
        <v>70995.746333333329</v>
      </c>
      <c r="I21" s="118">
        <f t="shared" si="8"/>
        <v>0</v>
      </c>
      <c r="J21" s="118">
        <f t="shared" si="8"/>
        <v>0</v>
      </c>
      <c r="K21" s="118">
        <f t="shared" si="8"/>
        <v>0</v>
      </c>
      <c r="L21" s="118">
        <f t="shared" si="8"/>
        <v>0</v>
      </c>
      <c r="M21" s="118">
        <f t="shared" si="8"/>
        <v>0</v>
      </c>
      <c r="N21" s="118">
        <f t="shared" si="8"/>
        <v>0</v>
      </c>
      <c r="O21" s="118">
        <f t="shared" si="8"/>
        <v>0</v>
      </c>
      <c r="P21" s="118">
        <f t="shared" si="8"/>
        <v>0</v>
      </c>
      <c r="Q21" s="118">
        <f t="shared" si="8"/>
        <v>0</v>
      </c>
      <c r="R21" s="118">
        <f t="shared" si="8"/>
        <v>0</v>
      </c>
      <c r="S21" s="118">
        <f t="shared" si="8"/>
        <v>0</v>
      </c>
      <c r="T21" s="118">
        <f t="shared" si="8"/>
        <v>0</v>
      </c>
      <c r="U21" s="118">
        <f t="shared" si="8"/>
        <v>0</v>
      </c>
      <c r="V21" s="119"/>
      <c r="W21" s="120"/>
      <c r="X21" s="121"/>
    </row>
    <row r="22" spans="1:24" s="122" customFormat="1" ht="15.75" x14ac:dyDescent="0.25">
      <c r="A22" s="206" t="s">
        <v>182</v>
      </c>
      <c r="B22" s="123" t="s">
        <v>207</v>
      </c>
      <c r="C22" s="124">
        <f t="shared" si="7"/>
        <v>0</v>
      </c>
      <c r="D22" s="124">
        <v>0</v>
      </c>
      <c r="E22" s="124">
        <v>0</v>
      </c>
      <c r="F22" s="124">
        <f>SUM(G22:U22)</f>
        <v>0</v>
      </c>
      <c r="G22" s="124">
        <v>0</v>
      </c>
      <c r="H22" s="124">
        <v>0</v>
      </c>
      <c r="I22" s="124">
        <v>0</v>
      </c>
      <c r="J22" s="124"/>
      <c r="K22" s="124"/>
      <c r="L22" s="124"/>
      <c r="M22" s="124"/>
      <c r="N22" s="124"/>
      <c r="O22" s="124"/>
      <c r="P22" s="124">
        <v>0</v>
      </c>
      <c r="Q22" s="124">
        <v>0</v>
      </c>
      <c r="R22" s="124">
        <v>0</v>
      </c>
      <c r="S22" s="124">
        <v>0</v>
      </c>
      <c r="T22" s="124">
        <v>0</v>
      </c>
      <c r="U22" s="124">
        <v>0</v>
      </c>
      <c r="V22" s="119"/>
      <c r="W22" s="120"/>
      <c r="X22" s="121"/>
    </row>
    <row r="23" spans="1:24" ht="15.75" x14ac:dyDescent="0.25">
      <c r="A23" s="206" t="s">
        <v>183</v>
      </c>
      <c r="B23" s="123" t="s">
        <v>251</v>
      </c>
      <c r="C23" s="124">
        <f t="shared" ref="C23:U23" si="9">SUM(C24:C31)</f>
        <v>70995.746333333329</v>
      </c>
      <c r="D23" s="124">
        <f t="shared" si="9"/>
        <v>45552.034</v>
      </c>
      <c r="E23" s="124">
        <f t="shared" si="9"/>
        <v>25443.712333333329</v>
      </c>
      <c r="F23" s="124">
        <f t="shared" si="9"/>
        <v>70995.746333333329</v>
      </c>
      <c r="G23" s="124">
        <f t="shared" si="9"/>
        <v>0</v>
      </c>
      <c r="H23" s="124">
        <f t="shared" si="9"/>
        <v>70995.746333333329</v>
      </c>
      <c r="I23" s="124">
        <f t="shared" si="9"/>
        <v>0</v>
      </c>
      <c r="J23" s="124">
        <f t="shared" si="9"/>
        <v>0</v>
      </c>
      <c r="K23" s="124">
        <f t="shared" si="9"/>
        <v>0</v>
      </c>
      <c r="L23" s="124">
        <f t="shared" si="9"/>
        <v>0</v>
      </c>
      <c r="M23" s="124">
        <f t="shared" si="9"/>
        <v>0</v>
      </c>
      <c r="N23" s="124">
        <f t="shared" si="9"/>
        <v>0</v>
      </c>
      <c r="O23" s="124">
        <f t="shared" si="9"/>
        <v>0</v>
      </c>
      <c r="P23" s="124">
        <f t="shared" si="9"/>
        <v>0</v>
      </c>
      <c r="Q23" s="124">
        <f t="shared" si="9"/>
        <v>0</v>
      </c>
      <c r="R23" s="124">
        <f t="shared" si="9"/>
        <v>0</v>
      </c>
      <c r="S23" s="124">
        <f t="shared" si="9"/>
        <v>0</v>
      </c>
      <c r="T23" s="124">
        <f t="shared" si="9"/>
        <v>0</v>
      </c>
      <c r="U23" s="124">
        <f t="shared" si="9"/>
        <v>0</v>
      </c>
      <c r="V23" s="124"/>
      <c r="W23" s="115"/>
    </row>
    <row r="24" spans="1:24" ht="15.75" x14ac:dyDescent="0.25">
      <c r="A24" s="189" t="s">
        <v>133</v>
      </c>
      <c r="B24" s="123" t="s">
        <v>841</v>
      </c>
      <c r="C24" s="124">
        <f>'№5 ИП-ТС'!C26+'№5 ИП-ТС'!C27+'№5 ИП-ТС'!C28+'№5 ИП-ТС'!C29+'№5 ИП-ТС'!C30+'№5 ИП-ТС'!C31</f>
        <v>17822.412999999997</v>
      </c>
      <c r="D24" s="126">
        <f>C24</f>
        <v>17822.412999999997</v>
      </c>
      <c r="E24" s="124">
        <v>0</v>
      </c>
      <c r="F24" s="126">
        <f>SUM(G24:U24)</f>
        <v>17822.412999999997</v>
      </c>
      <c r="G24" s="124">
        <v>0</v>
      </c>
      <c r="H24" s="126">
        <f>C24</f>
        <v>17822.412999999997</v>
      </c>
      <c r="I24" s="124">
        <v>0</v>
      </c>
      <c r="J24" s="124">
        <v>0</v>
      </c>
      <c r="K24" s="124">
        <v>0</v>
      </c>
      <c r="L24" s="124">
        <v>0</v>
      </c>
      <c r="M24" s="124">
        <v>0</v>
      </c>
      <c r="N24" s="124">
        <v>0</v>
      </c>
      <c r="O24" s="124">
        <v>0</v>
      </c>
      <c r="P24" s="124">
        <v>0</v>
      </c>
      <c r="Q24" s="124">
        <v>0</v>
      </c>
      <c r="R24" s="124">
        <v>0</v>
      </c>
      <c r="S24" s="124">
        <v>0</v>
      </c>
      <c r="T24" s="124">
        <v>0</v>
      </c>
      <c r="U24" s="124">
        <v>0</v>
      </c>
      <c r="V24" s="124" t="str">
        <f>'№2 ИП ТС'!A31</f>
        <v>2.1</v>
      </c>
      <c r="W24" s="115"/>
    </row>
    <row r="25" spans="1:24" ht="31.5" x14ac:dyDescent="0.25">
      <c r="A25" s="189" t="s">
        <v>641</v>
      </c>
      <c r="B25" s="123" t="s">
        <v>842</v>
      </c>
      <c r="C25" s="124">
        <f>'№5 ИП-ТС'!C54+'№5 ИП-ТС'!C55+'№5 ИП-ТС'!C56+'№5 ИП-ТС'!C57+'№5 ИП-ТС'!C58+'№5 ИП-ТС'!C59+'№5 ИП-ТС'!C60+'№5 ИП-ТС'!C61+'№5 ИП-ТС'!C62+'№5 ИП-ТС'!C63+'№5 ИП-ТС'!C64+'№5 ИП-ТС'!C65+'№5 ИП-ТС'!C66+'№5 ИП-ТС'!C67+'№5 ИП-ТС'!C68+'№5 ИП-ТС'!C69+'№5 ИП-ТС'!C70+'№5 ИП-ТС'!C71+'№5 ИП-ТС'!C72+'№5 ИП-ТС'!C73+'№5 ИП-ТС'!C74+'№5 ИП-ТС'!C75+'№5 ИП-ТС'!C76+'№5 ИП-ТС'!C32</f>
        <v>10643.698</v>
      </c>
      <c r="D25" s="126">
        <v>0</v>
      </c>
      <c r="E25" s="124">
        <f>C25</f>
        <v>10643.698</v>
      </c>
      <c r="F25" s="126">
        <f t="shared" ref="F25:F31" si="10">SUM(G25:U25)</f>
        <v>10643.698</v>
      </c>
      <c r="G25" s="124">
        <v>0</v>
      </c>
      <c r="H25" s="126">
        <f t="shared" ref="H25:H31" si="11">C25</f>
        <v>10643.698</v>
      </c>
      <c r="I25" s="124">
        <v>0</v>
      </c>
      <c r="J25" s="124">
        <v>0</v>
      </c>
      <c r="K25" s="124">
        <v>0</v>
      </c>
      <c r="L25" s="124">
        <v>0</v>
      </c>
      <c r="M25" s="124">
        <v>0</v>
      </c>
      <c r="N25" s="124">
        <v>0</v>
      </c>
      <c r="O25" s="124">
        <v>0</v>
      </c>
      <c r="P25" s="124">
        <v>0</v>
      </c>
      <c r="Q25" s="124">
        <v>0</v>
      </c>
      <c r="R25" s="124">
        <v>0</v>
      </c>
      <c r="S25" s="124">
        <v>0</v>
      </c>
      <c r="T25" s="124">
        <v>0</v>
      </c>
      <c r="U25" s="124">
        <v>0</v>
      </c>
      <c r="V25" s="124" t="str">
        <f>'№2 ИП ТС'!A32</f>
        <v>2.2</v>
      </c>
      <c r="W25" s="115"/>
    </row>
    <row r="26" spans="1:24" ht="15.75" x14ac:dyDescent="0.25">
      <c r="A26" s="189" t="s">
        <v>642</v>
      </c>
      <c r="B26" s="123" t="s">
        <v>843</v>
      </c>
      <c r="C26" s="124">
        <f>'№5 ИП-ТС'!C33+'№5 ИП-ТС'!C34+'№5 ИП-ТС'!C35+'№5 ИП-ТС'!C36+'№5 ИП-ТС'!C37</f>
        <v>1643.8629999999998</v>
      </c>
      <c r="D26" s="126">
        <f t="shared" ref="D26:D28" si="12">C26</f>
        <v>1643.8629999999998</v>
      </c>
      <c r="E26" s="124">
        <v>0</v>
      </c>
      <c r="F26" s="126">
        <f t="shared" si="10"/>
        <v>1643.8629999999998</v>
      </c>
      <c r="G26" s="124">
        <v>0</v>
      </c>
      <c r="H26" s="126">
        <f t="shared" si="11"/>
        <v>1643.8629999999998</v>
      </c>
      <c r="I26" s="124">
        <v>0</v>
      </c>
      <c r="J26" s="124">
        <v>0</v>
      </c>
      <c r="K26" s="124">
        <v>0</v>
      </c>
      <c r="L26" s="124">
        <v>0</v>
      </c>
      <c r="M26" s="124">
        <v>0</v>
      </c>
      <c r="N26" s="124">
        <v>0</v>
      </c>
      <c r="O26" s="124">
        <v>0</v>
      </c>
      <c r="P26" s="124">
        <v>0</v>
      </c>
      <c r="Q26" s="124">
        <v>0</v>
      </c>
      <c r="R26" s="124">
        <v>0</v>
      </c>
      <c r="S26" s="124">
        <v>0</v>
      </c>
      <c r="T26" s="124">
        <v>0</v>
      </c>
      <c r="U26" s="124">
        <v>0</v>
      </c>
      <c r="V26" s="124" t="str">
        <f>'№2 ИП ТС'!A33</f>
        <v>2.3</v>
      </c>
      <c r="W26" s="115"/>
    </row>
    <row r="27" spans="1:24" ht="31.5" x14ac:dyDescent="0.25">
      <c r="A27" s="189" t="s">
        <v>643</v>
      </c>
      <c r="B27" s="123" t="s">
        <v>844</v>
      </c>
      <c r="C27" s="124">
        <f>'№5 ИП-ТС'!C77+'№5 ИП-ТС'!C38</f>
        <v>2342.4169999999999</v>
      </c>
      <c r="D27" s="126">
        <v>0</v>
      </c>
      <c r="E27" s="124">
        <f>C27</f>
        <v>2342.4169999999999</v>
      </c>
      <c r="F27" s="126">
        <f t="shared" si="10"/>
        <v>2342.4169999999999</v>
      </c>
      <c r="G27" s="124">
        <v>0</v>
      </c>
      <c r="H27" s="126">
        <f t="shared" si="11"/>
        <v>2342.4169999999999</v>
      </c>
      <c r="I27" s="124">
        <v>0</v>
      </c>
      <c r="J27" s="124">
        <v>0</v>
      </c>
      <c r="K27" s="124">
        <v>0</v>
      </c>
      <c r="L27" s="124">
        <v>0</v>
      </c>
      <c r="M27" s="124">
        <v>0</v>
      </c>
      <c r="N27" s="124">
        <v>0</v>
      </c>
      <c r="O27" s="124">
        <v>0</v>
      </c>
      <c r="P27" s="124">
        <v>0</v>
      </c>
      <c r="Q27" s="124">
        <v>0</v>
      </c>
      <c r="R27" s="124">
        <v>0</v>
      </c>
      <c r="S27" s="124">
        <v>0</v>
      </c>
      <c r="T27" s="124">
        <v>0</v>
      </c>
      <c r="U27" s="124">
        <v>0</v>
      </c>
      <c r="V27" s="124" t="str">
        <f>'№2 ИП ТС'!A34</f>
        <v>2.4</v>
      </c>
      <c r="W27" s="115"/>
    </row>
    <row r="28" spans="1:24" ht="15.75" x14ac:dyDescent="0.25">
      <c r="A28" s="189" t="s">
        <v>644</v>
      </c>
      <c r="B28" s="123" t="s">
        <v>845</v>
      </c>
      <c r="C28" s="124">
        <f>'№5 ИП-ТС'!C39+'№5 ИП-ТС'!C40+'№5 ИП-ТС'!C41+'№5 ИП-ТС'!C42+'№5 ИП-ТС'!C43+'№5 ИП-ТС'!C44</f>
        <v>24441.893999999997</v>
      </c>
      <c r="D28" s="126">
        <f t="shared" si="12"/>
        <v>24441.893999999997</v>
      </c>
      <c r="E28" s="124">
        <v>0</v>
      </c>
      <c r="F28" s="126">
        <f t="shared" si="10"/>
        <v>24441.893999999997</v>
      </c>
      <c r="G28" s="124">
        <v>0</v>
      </c>
      <c r="H28" s="126">
        <f t="shared" si="11"/>
        <v>24441.893999999997</v>
      </c>
      <c r="I28" s="124">
        <v>0</v>
      </c>
      <c r="J28" s="124">
        <v>0</v>
      </c>
      <c r="K28" s="124">
        <v>0</v>
      </c>
      <c r="L28" s="124">
        <v>0</v>
      </c>
      <c r="M28" s="124">
        <v>0</v>
      </c>
      <c r="N28" s="124">
        <v>0</v>
      </c>
      <c r="O28" s="124">
        <v>0</v>
      </c>
      <c r="P28" s="124">
        <v>0</v>
      </c>
      <c r="Q28" s="124">
        <v>0</v>
      </c>
      <c r="R28" s="124">
        <v>0</v>
      </c>
      <c r="S28" s="124">
        <v>0</v>
      </c>
      <c r="T28" s="124">
        <v>0</v>
      </c>
      <c r="U28" s="124">
        <v>0</v>
      </c>
      <c r="V28" s="124" t="str">
        <f>'№2 ИП ТС'!A35</f>
        <v>2.5</v>
      </c>
      <c r="W28" s="115"/>
    </row>
    <row r="29" spans="1:24" ht="31.5" x14ac:dyDescent="0.25">
      <c r="A29" s="189" t="s">
        <v>645</v>
      </c>
      <c r="B29" s="123" t="s">
        <v>846</v>
      </c>
      <c r="C29" s="124">
        <f>'№5 ИП-ТС'!C78+'№5 ИП-ТС'!C79+'№5 ИП-ТС'!C80+'№5 ИП-ТС'!C81+'№5 ИП-ТС'!C82+'№5 ИП-ТС'!C83+'№5 ИП-ТС'!C84+'№5 ИП-ТС'!C85+'№5 ИП-ТС'!C86+'№5 ИП-ТС'!C87+'№5 ИП-ТС'!C88+'№5 ИП-ТС'!C89+'№5 ИП-ТС'!C90+'№5 ИП-ТС'!C91+'№5 ИП-ТС'!C92+'№5 ИП-ТС'!C93+'№5 ИП-ТС'!C45+'№5 ИП-ТС'!C46+'№5 ИП-ТС'!C47</f>
        <v>10760.474999999999</v>
      </c>
      <c r="D29" s="126">
        <v>0</v>
      </c>
      <c r="E29" s="124">
        <f>C29</f>
        <v>10760.474999999999</v>
      </c>
      <c r="F29" s="126">
        <f t="shared" si="10"/>
        <v>10760.474999999999</v>
      </c>
      <c r="G29" s="124">
        <v>0</v>
      </c>
      <c r="H29" s="126">
        <f t="shared" si="11"/>
        <v>10760.474999999999</v>
      </c>
      <c r="I29" s="124">
        <v>0</v>
      </c>
      <c r="J29" s="124">
        <v>0</v>
      </c>
      <c r="K29" s="124">
        <v>0</v>
      </c>
      <c r="L29" s="124">
        <v>0</v>
      </c>
      <c r="M29" s="124">
        <v>0</v>
      </c>
      <c r="N29" s="124">
        <v>0</v>
      </c>
      <c r="O29" s="124">
        <v>0</v>
      </c>
      <c r="P29" s="124">
        <v>0</v>
      </c>
      <c r="Q29" s="124">
        <v>0</v>
      </c>
      <c r="R29" s="124">
        <v>0</v>
      </c>
      <c r="S29" s="124">
        <v>0</v>
      </c>
      <c r="T29" s="124">
        <v>0</v>
      </c>
      <c r="U29" s="124">
        <v>0</v>
      </c>
      <c r="V29" s="124" t="str">
        <f>'№2 ИП ТС'!A36</f>
        <v>2.6</v>
      </c>
      <c r="W29" s="115"/>
    </row>
    <row r="30" spans="1:24" ht="15.75" x14ac:dyDescent="0.25">
      <c r="A30" s="189" t="s">
        <v>646</v>
      </c>
      <c r="B30" s="123" t="s">
        <v>847</v>
      </c>
      <c r="C30" s="124">
        <f>'№5 ИП-ТС'!C48+'№5 ИП-ТС'!C49+'№5 ИП-ТС'!C50+'№5 ИП-ТС'!C51+'№5 ИП-ТС'!C52</f>
        <v>1643.864</v>
      </c>
      <c r="D30" s="124">
        <f>C30</f>
        <v>1643.864</v>
      </c>
      <c r="E30" s="126">
        <v>0</v>
      </c>
      <c r="F30" s="126">
        <f t="shared" si="10"/>
        <v>1643.864</v>
      </c>
      <c r="G30" s="124">
        <v>0</v>
      </c>
      <c r="H30" s="126">
        <f t="shared" si="11"/>
        <v>1643.864</v>
      </c>
      <c r="I30" s="124">
        <v>0</v>
      </c>
      <c r="J30" s="124">
        <v>0</v>
      </c>
      <c r="K30" s="124">
        <v>0</v>
      </c>
      <c r="L30" s="124">
        <v>0</v>
      </c>
      <c r="M30" s="124">
        <v>0</v>
      </c>
      <c r="N30" s="124">
        <v>0</v>
      </c>
      <c r="O30" s="124">
        <v>0</v>
      </c>
      <c r="P30" s="124">
        <v>0</v>
      </c>
      <c r="Q30" s="124">
        <v>0</v>
      </c>
      <c r="R30" s="124">
        <v>0</v>
      </c>
      <c r="S30" s="124">
        <v>0</v>
      </c>
      <c r="T30" s="124">
        <v>0</v>
      </c>
      <c r="U30" s="124">
        <v>0</v>
      </c>
      <c r="V30" s="124" t="str">
        <f>'№2 ИП ТС'!A37</f>
        <v>2.7</v>
      </c>
      <c r="W30" s="115"/>
    </row>
    <row r="31" spans="1:24" ht="31.5" x14ac:dyDescent="0.25">
      <c r="A31" s="189" t="s">
        <v>647</v>
      </c>
      <c r="B31" s="123" t="s">
        <v>848</v>
      </c>
      <c r="C31" s="124">
        <f>'№5 ИП-ТС'!C174+'№5 ИП-ТС'!C175+'№5 ИП-ТС'!C53</f>
        <v>1697.1223333333332</v>
      </c>
      <c r="D31" s="126">
        <v>0</v>
      </c>
      <c r="E31" s="124">
        <f>C31</f>
        <v>1697.1223333333332</v>
      </c>
      <c r="F31" s="126">
        <f t="shared" si="10"/>
        <v>1697.1223333333332</v>
      </c>
      <c r="G31" s="124">
        <v>0</v>
      </c>
      <c r="H31" s="126">
        <f t="shared" si="11"/>
        <v>1697.1223333333332</v>
      </c>
      <c r="I31" s="124">
        <v>0</v>
      </c>
      <c r="J31" s="124">
        <v>0</v>
      </c>
      <c r="K31" s="124">
        <v>0</v>
      </c>
      <c r="L31" s="124">
        <v>0</v>
      </c>
      <c r="M31" s="124">
        <v>0</v>
      </c>
      <c r="N31" s="124">
        <v>0</v>
      </c>
      <c r="O31" s="124">
        <v>0</v>
      </c>
      <c r="P31" s="124">
        <v>0</v>
      </c>
      <c r="Q31" s="124">
        <v>0</v>
      </c>
      <c r="R31" s="124">
        <v>0</v>
      </c>
      <c r="S31" s="124">
        <v>0</v>
      </c>
      <c r="T31" s="124">
        <v>0</v>
      </c>
      <c r="U31" s="124">
        <v>0</v>
      </c>
      <c r="V31" s="124" t="str">
        <f>'№2 ИП ТС'!A39</f>
        <v>2.9</v>
      </c>
      <c r="W31" s="115"/>
    </row>
    <row r="32" spans="1:24" s="134" customFormat="1" ht="15.75" x14ac:dyDescent="0.25">
      <c r="A32" s="206" t="s">
        <v>184</v>
      </c>
      <c r="B32" s="123" t="s">
        <v>208</v>
      </c>
      <c r="C32" s="124">
        <v>0</v>
      </c>
      <c r="D32" s="124">
        <v>0</v>
      </c>
      <c r="E32" s="124">
        <v>0</v>
      </c>
      <c r="F32" s="126">
        <f t="shared" ref="F32:F36" si="13">SUM(G32:U32)</f>
        <v>0</v>
      </c>
      <c r="G32" s="124">
        <v>0</v>
      </c>
      <c r="H32" s="124">
        <v>0</v>
      </c>
      <c r="I32" s="124">
        <v>0</v>
      </c>
      <c r="J32" s="124">
        <v>0</v>
      </c>
      <c r="K32" s="124">
        <v>0</v>
      </c>
      <c r="L32" s="124">
        <v>0</v>
      </c>
      <c r="M32" s="124">
        <v>0</v>
      </c>
      <c r="N32" s="124">
        <v>0</v>
      </c>
      <c r="O32" s="124">
        <v>0</v>
      </c>
      <c r="P32" s="124">
        <v>0</v>
      </c>
      <c r="Q32" s="124">
        <v>0</v>
      </c>
      <c r="R32" s="124">
        <v>0</v>
      </c>
      <c r="S32" s="124">
        <v>0</v>
      </c>
      <c r="T32" s="124">
        <v>0</v>
      </c>
      <c r="U32" s="124">
        <v>0</v>
      </c>
      <c r="V32" s="119"/>
      <c r="W32" s="133"/>
      <c r="X32" s="133"/>
    </row>
    <row r="33" spans="1:24" s="134" customFormat="1" ht="173.25" x14ac:dyDescent="0.25">
      <c r="A33" s="116" t="s">
        <v>185</v>
      </c>
      <c r="B33" s="117" t="s">
        <v>252</v>
      </c>
      <c r="C33" s="118">
        <f>SUM(C34:C36)</f>
        <v>25000</v>
      </c>
      <c r="D33" s="118">
        <f t="shared" ref="D33:U33" si="14">SUM(D34:D36)</f>
        <v>25000</v>
      </c>
      <c r="E33" s="118">
        <f t="shared" si="14"/>
        <v>0</v>
      </c>
      <c r="F33" s="126">
        <f t="shared" si="13"/>
        <v>25000</v>
      </c>
      <c r="G33" s="118">
        <f t="shared" si="14"/>
        <v>0</v>
      </c>
      <c r="H33" s="118">
        <f t="shared" si="14"/>
        <v>0</v>
      </c>
      <c r="I33" s="118">
        <f t="shared" si="14"/>
        <v>25000</v>
      </c>
      <c r="J33" s="118">
        <f t="shared" si="14"/>
        <v>0</v>
      </c>
      <c r="K33" s="118">
        <f t="shared" si="14"/>
        <v>0</v>
      </c>
      <c r="L33" s="118">
        <f t="shared" si="14"/>
        <v>0</v>
      </c>
      <c r="M33" s="118">
        <f t="shared" si="14"/>
        <v>0</v>
      </c>
      <c r="N33" s="118">
        <f t="shared" si="14"/>
        <v>0</v>
      </c>
      <c r="O33" s="118">
        <f t="shared" si="14"/>
        <v>0</v>
      </c>
      <c r="P33" s="118">
        <f t="shared" si="14"/>
        <v>0</v>
      </c>
      <c r="Q33" s="118">
        <f t="shared" si="14"/>
        <v>0</v>
      </c>
      <c r="R33" s="118">
        <f t="shared" si="14"/>
        <v>0</v>
      </c>
      <c r="S33" s="118">
        <f t="shared" si="14"/>
        <v>0</v>
      </c>
      <c r="T33" s="118">
        <f t="shared" si="14"/>
        <v>0</v>
      </c>
      <c r="U33" s="118">
        <f t="shared" si="14"/>
        <v>0</v>
      </c>
      <c r="V33" s="119"/>
      <c r="W33" s="133"/>
      <c r="X33" s="133"/>
    </row>
    <row r="34" spans="1:24" s="134" customFormat="1" ht="47.25" x14ac:dyDescent="0.25">
      <c r="A34" s="189" t="s">
        <v>5</v>
      </c>
      <c r="B34" s="123" t="s">
        <v>849</v>
      </c>
      <c r="C34" s="118">
        <f>'№2 ИП ТС'!AN31</f>
        <v>11256.286</v>
      </c>
      <c r="D34" s="118">
        <f>C34</f>
        <v>11256.286</v>
      </c>
      <c r="E34" s="118">
        <v>0</v>
      </c>
      <c r="F34" s="126">
        <f t="shared" si="13"/>
        <v>11256.286</v>
      </c>
      <c r="G34" s="118">
        <v>0</v>
      </c>
      <c r="H34" s="118">
        <v>0</v>
      </c>
      <c r="I34" s="118">
        <f>C34</f>
        <v>11256.286</v>
      </c>
      <c r="J34" s="118">
        <v>0</v>
      </c>
      <c r="K34" s="118">
        <v>0</v>
      </c>
      <c r="L34" s="118">
        <v>0</v>
      </c>
      <c r="M34" s="118">
        <v>0</v>
      </c>
      <c r="N34" s="118">
        <v>0</v>
      </c>
      <c r="O34" s="118">
        <v>0</v>
      </c>
      <c r="P34" s="118">
        <v>0</v>
      </c>
      <c r="Q34" s="118">
        <v>0</v>
      </c>
      <c r="R34" s="118">
        <v>0</v>
      </c>
      <c r="S34" s="118">
        <v>0</v>
      </c>
      <c r="T34" s="118">
        <v>0</v>
      </c>
      <c r="U34" s="118">
        <v>0</v>
      </c>
      <c r="V34" s="119" t="str">
        <f>'№2 ИП ТС'!A31</f>
        <v>2.1</v>
      </c>
      <c r="W34" s="133"/>
      <c r="X34" s="133"/>
    </row>
    <row r="35" spans="1:24" s="134" customFormat="1" ht="47.25" x14ac:dyDescent="0.25">
      <c r="A35" s="189" t="s">
        <v>6</v>
      </c>
      <c r="B35" s="123" t="s">
        <v>850</v>
      </c>
      <c r="C35" s="118">
        <f>'№2 ИП ТС'!R38</f>
        <v>6871.857</v>
      </c>
      <c r="D35" s="118">
        <f>C35</f>
        <v>6871.857</v>
      </c>
      <c r="E35" s="118">
        <v>0</v>
      </c>
      <c r="F35" s="126">
        <f t="shared" si="13"/>
        <v>6871.857</v>
      </c>
      <c r="G35" s="118">
        <v>0</v>
      </c>
      <c r="H35" s="118">
        <v>0</v>
      </c>
      <c r="I35" s="118">
        <f>C35</f>
        <v>6871.857</v>
      </c>
      <c r="J35" s="118">
        <v>0</v>
      </c>
      <c r="K35" s="118">
        <v>0</v>
      </c>
      <c r="L35" s="118">
        <v>0</v>
      </c>
      <c r="M35" s="118">
        <v>0</v>
      </c>
      <c r="N35" s="118">
        <v>0</v>
      </c>
      <c r="O35" s="118">
        <v>0</v>
      </c>
      <c r="P35" s="118">
        <v>0</v>
      </c>
      <c r="Q35" s="118">
        <v>0</v>
      </c>
      <c r="R35" s="118">
        <v>0</v>
      </c>
      <c r="S35" s="118">
        <v>0</v>
      </c>
      <c r="T35" s="118">
        <v>0</v>
      </c>
      <c r="U35" s="118">
        <v>0</v>
      </c>
      <c r="V35" s="119" t="str">
        <f>'№2 ИП ТС'!A38</f>
        <v>2.8</v>
      </c>
      <c r="W35" s="133"/>
      <c r="X35" s="133"/>
    </row>
    <row r="36" spans="1:24" s="134" customFormat="1" ht="47.25" x14ac:dyDescent="0.25">
      <c r="A36" s="189" t="s">
        <v>7</v>
      </c>
      <c r="B36" s="123" t="s">
        <v>851</v>
      </c>
      <c r="C36" s="118">
        <f>'№2 ИП ТС'!R54</f>
        <v>6871.857</v>
      </c>
      <c r="D36" s="118">
        <f>C36</f>
        <v>6871.857</v>
      </c>
      <c r="E36" s="118">
        <v>0</v>
      </c>
      <c r="F36" s="126">
        <f t="shared" si="13"/>
        <v>6871.857</v>
      </c>
      <c r="G36" s="118">
        <v>0</v>
      </c>
      <c r="H36" s="118">
        <v>0</v>
      </c>
      <c r="I36" s="118">
        <f>C36</f>
        <v>6871.857</v>
      </c>
      <c r="J36" s="118">
        <v>0</v>
      </c>
      <c r="K36" s="118">
        <v>0</v>
      </c>
      <c r="L36" s="118">
        <v>0</v>
      </c>
      <c r="M36" s="118">
        <v>0</v>
      </c>
      <c r="N36" s="118">
        <v>0</v>
      </c>
      <c r="O36" s="118">
        <v>0</v>
      </c>
      <c r="P36" s="118">
        <v>0</v>
      </c>
      <c r="Q36" s="118">
        <v>0</v>
      </c>
      <c r="R36" s="118">
        <v>0</v>
      </c>
      <c r="S36" s="118">
        <v>0</v>
      </c>
      <c r="T36" s="118">
        <v>0</v>
      </c>
      <c r="U36" s="118">
        <v>0</v>
      </c>
      <c r="V36" s="119" t="str">
        <f>'№2 ИП ТС'!A54</f>
        <v>2.24</v>
      </c>
      <c r="W36" s="133"/>
      <c r="X36" s="133"/>
    </row>
    <row r="37" spans="1:24" s="134" customFormat="1" ht="31.5" x14ac:dyDescent="0.25">
      <c r="A37" s="116" t="s">
        <v>186</v>
      </c>
      <c r="B37" s="117" t="s">
        <v>209</v>
      </c>
      <c r="C37" s="118">
        <f>SUM(G37:U37)</f>
        <v>0</v>
      </c>
      <c r="D37" s="118">
        <v>0</v>
      </c>
      <c r="E37" s="118">
        <f>SUM(G37:S37)</f>
        <v>0</v>
      </c>
      <c r="F37" s="118">
        <f>SUM(G37:U37)</f>
        <v>0</v>
      </c>
      <c r="G37" s="118">
        <v>0</v>
      </c>
      <c r="H37" s="118">
        <v>0</v>
      </c>
      <c r="I37" s="118">
        <v>0</v>
      </c>
      <c r="J37" s="118">
        <v>0</v>
      </c>
      <c r="K37" s="118">
        <v>0</v>
      </c>
      <c r="L37" s="118">
        <v>0</v>
      </c>
      <c r="M37" s="118">
        <v>0</v>
      </c>
      <c r="N37" s="118">
        <v>0</v>
      </c>
      <c r="O37" s="118">
        <v>0</v>
      </c>
      <c r="P37" s="118">
        <v>0</v>
      </c>
      <c r="Q37" s="118">
        <v>0</v>
      </c>
      <c r="R37" s="118">
        <v>0</v>
      </c>
      <c r="S37" s="118">
        <v>0</v>
      </c>
      <c r="T37" s="118">
        <v>0</v>
      </c>
      <c r="U37" s="118">
        <v>0</v>
      </c>
      <c r="V37" s="119"/>
      <c r="W37" s="133"/>
      <c r="X37" s="133"/>
    </row>
    <row r="38" spans="1:24" s="134" customFormat="1" ht="15.75" x14ac:dyDescent="0.25">
      <c r="A38" s="116"/>
      <c r="B38" s="117" t="s">
        <v>149</v>
      </c>
      <c r="C38" s="118">
        <f>SUM(G38:U38)</f>
        <v>95995.746333333329</v>
      </c>
      <c r="D38" s="118">
        <f t="shared" ref="D38:U38" si="15">D12+D21+D33+D37</f>
        <v>70552.034</v>
      </c>
      <c r="E38" s="118">
        <f t="shared" si="15"/>
        <v>25443.712333333329</v>
      </c>
      <c r="F38" s="118">
        <f t="shared" si="15"/>
        <v>95995.746333333329</v>
      </c>
      <c r="G38" s="118">
        <f t="shared" si="15"/>
        <v>0</v>
      </c>
      <c r="H38" s="118">
        <f t="shared" si="15"/>
        <v>70995.746333333329</v>
      </c>
      <c r="I38" s="118">
        <f t="shared" si="15"/>
        <v>25000</v>
      </c>
      <c r="J38" s="118">
        <f t="shared" si="15"/>
        <v>0</v>
      </c>
      <c r="K38" s="118">
        <f t="shared" si="15"/>
        <v>0</v>
      </c>
      <c r="L38" s="118">
        <f t="shared" si="15"/>
        <v>0</v>
      </c>
      <c r="M38" s="118">
        <f t="shared" si="15"/>
        <v>0</v>
      </c>
      <c r="N38" s="118">
        <f t="shared" si="15"/>
        <v>0</v>
      </c>
      <c r="O38" s="118">
        <f t="shared" si="15"/>
        <v>0</v>
      </c>
      <c r="P38" s="118">
        <f t="shared" si="15"/>
        <v>0</v>
      </c>
      <c r="Q38" s="118">
        <f t="shared" si="15"/>
        <v>0</v>
      </c>
      <c r="R38" s="118">
        <f t="shared" si="15"/>
        <v>0</v>
      </c>
      <c r="S38" s="118">
        <f t="shared" si="15"/>
        <v>0</v>
      </c>
      <c r="T38" s="118">
        <f t="shared" si="15"/>
        <v>0</v>
      </c>
      <c r="U38" s="118">
        <f t="shared" si="15"/>
        <v>0</v>
      </c>
      <c r="V38" s="127"/>
      <c r="W38" s="133"/>
      <c r="X38" s="133"/>
    </row>
    <row r="39" spans="1:24" s="134" customFormat="1" ht="15.75" x14ac:dyDescent="0.25">
      <c r="A39" s="472" t="s">
        <v>210</v>
      </c>
      <c r="B39" s="473"/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3"/>
      <c r="T39" s="473"/>
      <c r="U39" s="473"/>
      <c r="V39" s="473"/>
      <c r="W39" s="133"/>
      <c r="X39" s="133"/>
    </row>
    <row r="40" spans="1:24" s="134" customFormat="1" ht="15.75" x14ac:dyDescent="0.25">
      <c r="A40" s="128" t="s">
        <v>29</v>
      </c>
      <c r="B40" s="129" t="s">
        <v>199</v>
      </c>
      <c r="C40" s="130">
        <f>D40+E40</f>
        <v>70995.746333333329</v>
      </c>
      <c r="D40" s="130">
        <f t="shared" ref="D40:U40" si="16">D41+D50+D51+D52</f>
        <v>45552.034</v>
      </c>
      <c r="E40" s="130">
        <f t="shared" si="16"/>
        <v>25443.712333333329</v>
      </c>
      <c r="F40" s="130">
        <f t="shared" si="16"/>
        <v>70995.746333333329</v>
      </c>
      <c r="G40" s="130">
        <f t="shared" si="16"/>
        <v>0</v>
      </c>
      <c r="H40" s="130">
        <f t="shared" si="16"/>
        <v>0</v>
      </c>
      <c r="I40" s="130">
        <f t="shared" si="16"/>
        <v>4967.1902999999993</v>
      </c>
      <c r="J40" s="130">
        <f t="shared" si="16"/>
        <v>6158.5506999999998</v>
      </c>
      <c r="K40" s="130">
        <f t="shared" si="16"/>
        <v>7099.5746333333336</v>
      </c>
      <c r="L40" s="130">
        <f t="shared" si="16"/>
        <v>7099.5746333333336</v>
      </c>
      <c r="M40" s="130">
        <f t="shared" si="16"/>
        <v>7099.5746333333336</v>
      </c>
      <c r="N40" s="130">
        <f t="shared" si="16"/>
        <v>7099.5746333333336</v>
      </c>
      <c r="O40" s="130">
        <f t="shared" si="16"/>
        <v>7099.5746333333336</v>
      </c>
      <c r="P40" s="130">
        <f t="shared" si="16"/>
        <v>7099.5746333333336</v>
      </c>
      <c r="Q40" s="130">
        <f t="shared" si="16"/>
        <v>7099.5746333333336</v>
      </c>
      <c r="R40" s="130">
        <f t="shared" si="16"/>
        <v>7099.5746333333336</v>
      </c>
      <c r="S40" s="130">
        <f t="shared" si="16"/>
        <v>2132.3843333333334</v>
      </c>
      <c r="T40" s="130">
        <f t="shared" si="16"/>
        <v>941.02393333333328</v>
      </c>
      <c r="U40" s="130">
        <f t="shared" si="16"/>
        <v>0</v>
      </c>
      <c r="V40" s="130"/>
      <c r="W40" s="133"/>
      <c r="X40" s="133"/>
    </row>
    <row r="41" spans="1:24" s="134" customFormat="1" ht="31.5" x14ac:dyDescent="0.25">
      <c r="A41" s="131" t="s">
        <v>25</v>
      </c>
      <c r="B41" s="132" t="s">
        <v>253</v>
      </c>
      <c r="C41" s="126">
        <f>D41+E41</f>
        <v>70995.746333333329</v>
      </c>
      <c r="D41" s="126">
        <f t="shared" ref="D41:U41" si="17">SUM(D42:D49)</f>
        <v>45552.034</v>
      </c>
      <c r="E41" s="126">
        <f t="shared" si="17"/>
        <v>25443.712333333329</v>
      </c>
      <c r="F41" s="126">
        <f t="shared" si="17"/>
        <v>70995.746333333329</v>
      </c>
      <c r="G41" s="126">
        <f t="shared" si="17"/>
        <v>0</v>
      </c>
      <c r="H41" s="126">
        <f t="shared" si="17"/>
        <v>0</v>
      </c>
      <c r="I41" s="126">
        <f t="shared" si="17"/>
        <v>4967.1902999999993</v>
      </c>
      <c r="J41" s="126">
        <f t="shared" si="17"/>
        <v>6158.5506999999998</v>
      </c>
      <c r="K41" s="126">
        <f t="shared" si="17"/>
        <v>7099.5746333333336</v>
      </c>
      <c r="L41" s="126">
        <f t="shared" si="17"/>
        <v>7099.5746333333336</v>
      </c>
      <c r="M41" s="126">
        <f t="shared" si="17"/>
        <v>7099.5746333333336</v>
      </c>
      <c r="N41" s="126">
        <f t="shared" si="17"/>
        <v>7099.5746333333336</v>
      </c>
      <c r="O41" s="126">
        <f t="shared" si="17"/>
        <v>7099.5746333333336</v>
      </c>
      <c r="P41" s="126">
        <f t="shared" si="17"/>
        <v>7099.5746333333336</v>
      </c>
      <c r="Q41" s="126">
        <f t="shared" si="17"/>
        <v>7099.5746333333336</v>
      </c>
      <c r="R41" s="126">
        <f t="shared" si="17"/>
        <v>7099.5746333333336</v>
      </c>
      <c r="S41" s="126">
        <f t="shared" si="17"/>
        <v>2132.3843333333334</v>
      </c>
      <c r="T41" s="126">
        <f t="shared" si="17"/>
        <v>941.02393333333328</v>
      </c>
      <c r="U41" s="126">
        <f t="shared" si="17"/>
        <v>0</v>
      </c>
      <c r="V41" s="124"/>
      <c r="W41" s="133"/>
      <c r="X41" s="133"/>
    </row>
    <row r="42" spans="1:24" s="134" customFormat="1" ht="15.75" x14ac:dyDescent="0.25">
      <c r="A42" s="189" t="s">
        <v>113</v>
      </c>
      <c r="B42" s="132" t="str">
        <f t="shared" ref="B42:C49" si="18">B24</f>
        <v>заемные средства (котельная №1)</v>
      </c>
      <c r="C42" s="190">
        <f t="shared" si="18"/>
        <v>17822.412999999997</v>
      </c>
      <c r="D42" s="190">
        <f t="shared" ref="D42:E42" si="19">D24</f>
        <v>17822.412999999997</v>
      </c>
      <c r="E42" s="190">
        <f t="shared" si="19"/>
        <v>0</v>
      </c>
      <c r="F42" s="126">
        <f t="shared" ref="F42:F49" si="20">SUM(G42:U42)</f>
        <v>17822.412999999997</v>
      </c>
      <c r="G42" s="190">
        <v>0</v>
      </c>
      <c r="H42" s="190">
        <v>0</v>
      </c>
      <c r="I42" s="126">
        <f>C42/10</f>
        <v>1782.2412999999997</v>
      </c>
      <c r="J42" s="126">
        <f>I42</f>
        <v>1782.2412999999997</v>
      </c>
      <c r="K42" s="126">
        <f t="shared" ref="K42:R42" si="21">J42</f>
        <v>1782.2412999999997</v>
      </c>
      <c r="L42" s="126">
        <f t="shared" si="21"/>
        <v>1782.2412999999997</v>
      </c>
      <c r="M42" s="126">
        <f t="shared" si="21"/>
        <v>1782.2412999999997</v>
      </c>
      <c r="N42" s="126">
        <f t="shared" si="21"/>
        <v>1782.2412999999997</v>
      </c>
      <c r="O42" s="126">
        <f t="shared" si="21"/>
        <v>1782.2412999999997</v>
      </c>
      <c r="P42" s="126">
        <f t="shared" si="21"/>
        <v>1782.2412999999997</v>
      </c>
      <c r="Q42" s="126">
        <f t="shared" si="21"/>
        <v>1782.2412999999997</v>
      </c>
      <c r="R42" s="126">
        <f t="shared" si="21"/>
        <v>1782.2412999999997</v>
      </c>
      <c r="S42" s="190">
        <v>0</v>
      </c>
      <c r="T42" s="190">
        <v>0</v>
      </c>
      <c r="U42" s="190">
        <v>0</v>
      </c>
      <c r="V42" s="124" t="str">
        <f t="shared" ref="V42:V49" si="22">V24</f>
        <v>2.1</v>
      </c>
      <c r="W42" s="133"/>
      <c r="X42" s="133"/>
    </row>
    <row r="43" spans="1:24" s="134" customFormat="1" ht="31.5" x14ac:dyDescent="0.25">
      <c r="A43" s="189" t="s">
        <v>114</v>
      </c>
      <c r="B43" s="132" t="str">
        <f t="shared" si="18"/>
        <v>заемные средства (тепловые сети от котельной №1)</v>
      </c>
      <c r="C43" s="190">
        <f t="shared" si="18"/>
        <v>10643.698</v>
      </c>
      <c r="D43" s="190">
        <f t="shared" ref="D43:E49" si="23">D25</f>
        <v>0</v>
      </c>
      <c r="E43" s="190">
        <f t="shared" si="23"/>
        <v>10643.698</v>
      </c>
      <c r="F43" s="126">
        <f t="shared" si="20"/>
        <v>10643.698</v>
      </c>
      <c r="G43" s="190">
        <v>0</v>
      </c>
      <c r="H43" s="190">
        <v>0</v>
      </c>
      <c r="I43" s="126">
        <f>'№5 ИП-ТС'!I112</f>
        <v>38.562599999999996</v>
      </c>
      <c r="J43" s="126">
        <f>C43/10</f>
        <v>1064.3697999999999</v>
      </c>
      <c r="K43" s="126">
        <f t="shared" ref="J43:R48" si="24">J43</f>
        <v>1064.3697999999999</v>
      </c>
      <c r="L43" s="126">
        <f t="shared" si="24"/>
        <v>1064.3697999999999</v>
      </c>
      <c r="M43" s="126">
        <f t="shared" si="24"/>
        <v>1064.3697999999999</v>
      </c>
      <c r="N43" s="126">
        <f t="shared" si="24"/>
        <v>1064.3697999999999</v>
      </c>
      <c r="O43" s="126">
        <f t="shared" si="24"/>
        <v>1064.3697999999999</v>
      </c>
      <c r="P43" s="126">
        <f t="shared" si="24"/>
        <v>1064.3697999999999</v>
      </c>
      <c r="Q43" s="126">
        <f t="shared" si="24"/>
        <v>1064.3697999999999</v>
      </c>
      <c r="R43" s="126">
        <f t="shared" si="24"/>
        <v>1064.3697999999999</v>
      </c>
      <c r="S43" s="190">
        <f>R43-I43</f>
        <v>1025.8072</v>
      </c>
      <c r="T43" s="190">
        <v>0</v>
      </c>
      <c r="U43" s="190">
        <v>0</v>
      </c>
      <c r="V43" s="124" t="str">
        <f t="shared" si="22"/>
        <v>2.2</v>
      </c>
      <c r="W43" s="133"/>
      <c r="X43" s="133"/>
    </row>
    <row r="44" spans="1:24" s="134" customFormat="1" ht="15.75" x14ac:dyDescent="0.25">
      <c r="A44" s="189" t="s">
        <v>710</v>
      </c>
      <c r="B44" s="132" t="str">
        <f t="shared" si="18"/>
        <v>заемные средства (котельная №2)</v>
      </c>
      <c r="C44" s="190">
        <f t="shared" si="18"/>
        <v>1643.8629999999998</v>
      </c>
      <c r="D44" s="190">
        <f t="shared" si="23"/>
        <v>1643.8629999999998</v>
      </c>
      <c r="E44" s="190">
        <f t="shared" si="23"/>
        <v>0</v>
      </c>
      <c r="F44" s="126">
        <f t="shared" si="20"/>
        <v>1643.8629999999996</v>
      </c>
      <c r="G44" s="190">
        <v>0</v>
      </c>
      <c r="H44" s="190">
        <v>0</v>
      </c>
      <c r="I44" s="126">
        <f>C44/10</f>
        <v>164.38629999999998</v>
      </c>
      <c r="J44" s="126">
        <f>I44</f>
        <v>164.38629999999998</v>
      </c>
      <c r="K44" s="126">
        <f t="shared" si="24"/>
        <v>164.38629999999998</v>
      </c>
      <c r="L44" s="126">
        <f t="shared" si="24"/>
        <v>164.38629999999998</v>
      </c>
      <c r="M44" s="126">
        <f t="shared" si="24"/>
        <v>164.38629999999998</v>
      </c>
      <c r="N44" s="126">
        <f t="shared" si="24"/>
        <v>164.38629999999998</v>
      </c>
      <c r="O44" s="126">
        <f t="shared" si="24"/>
        <v>164.38629999999998</v>
      </c>
      <c r="P44" s="126">
        <f t="shared" si="24"/>
        <v>164.38629999999998</v>
      </c>
      <c r="Q44" s="126">
        <f t="shared" si="24"/>
        <v>164.38629999999998</v>
      </c>
      <c r="R44" s="126">
        <f t="shared" si="24"/>
        <v>164.38629999999998</v>
      </c>
      <c r="S44" s="190">
        <v>0</v>
      </c>
      <c r="T44" s="190">
        <v>0</v>
      </c>
      <c r="U44" s="190">
        <v>0</v>
      </c>
      <c r="V44" s="124" t="str">
        <f t="shared" si="22"/>
        <v>2.3</v>
      </c>
      <c r="W44" s="133"/>
      <c r="X44" s="133"/>
    </row>
    <row r="45" spans="1:24" s="134" customFormat="1" ht="31.5" x14ac:dyDescent="0.25">
      <c r="A45" s="189" t="s">
        <v>711</v>
      </c>
      <c r="B45" s="132" t="str">
        <f t="shared" si="18"/>
        <v>заемные средства (тепловые сети от котельной №2)</v>
      </c>
      <c r="C45" s="190">
        <f t="shared" si="18"/>
        <v>2342.4169999999999</v>
      </c>
      <c r="D45" s="190">
        <f t="shared" si="23"/>
        <v>0</v>
      </c>
      <c r="E45" s="190">
        <f t="shared" si="23"/>
        <v>2342.4169999999999</v>
      </c>
      <c r="F45" s="126">
        <f t="shared" si="20"/>
        <v>2342.4169999999999</v>
      </c>
      <c r="G45" s="190">
        <v>0</v>
      </c>
      <c r="H45" s="190">
        <v>0</v>
      </c>
      <c r="I45" s="126">
        <f>'№5 ИП-ТС'!C118/10</f>
        <v>68.688500000000005</v>
      </c>
      <c r="J45" s="126">
        <f>C45/10</f>
        <v>234.24169999999998</v>
      </c>
      <c r="K45" s="126">
        <f t="shared" ref="K45" si="25">J45</f>
        <v>234.24169999999998</v>
      </c>
      <c r="L45" s="126">
        <f t="shared" ref="L45" si="26">K45</f>
        <v>234.24169999999998</v>
      </c>
      <c r="M45" s="126">
        <f t="shared" ref="M45" si="27">L45</f>
        <v>234.24169999999998</v>
      </c>
      <c r="N45" s="126">
        <f t="shared" ref="N45" si="28">M45</f>
        <v>234.24169999999998</v>
      </c>
      <c r="O45" s="126">
        <f t="shared" ref="O45" si="29">N45</f>
        <v>234.24169999999998</v>
      </c>
      <c r="P45" s="126">
        <f t="shared" ref="P45" si="30">O45</f>
        <v>234.24169999999998</v>
      </c>
      <c r="Q45" s="126">
        <f t="shared" ref="Q45" si="31">P45</f>
        <v>234.24169999999998</v>
      </c>
      <c r="R45" s="126">
        <f t="shared" ref="R45" si="32">Q45</f>
        <v>234.24169999999998</v>
      </c>
      <c r="S45" s="190">
        <f>R45-I45</f>
        <v>165.55319999999998</v>
      </c>
      <c r="T45" s="190">
        <v>0</v>
      </c>
      <c r="U45" s="190">
        <v>0</v>
      </c>
      <c r="V45" s="124" t="str">
        <f t="shared" si="22"/>
        <v>2.4</v>
      </c>
      <c r="W45" s="133"/>
      <c r="X45" s="133"/>
    </row>
    <row r="46" spans="1:24" s="134" customFormat="1" ht="15.75" x14ac:dyDescent="0.25">
      <c r="A46" s="189" t="s">
        <v>712</v>
      </c>
      <c r="B46" s="132" t="str">
        <f t="shared" si="18"/>
        <v>заемные средства (котельная №3)</v>
      </c>
      <c r="C46" s="190">
        <f t="shared" si="18"/>
        <v>24441.893999999997</v>
      </c>
      <c r="D46" s="190">
        <f t="shared" si="23"/>
        <v>24441.893999999997</v>
      </c>
      <c r="E46" s="190">
        <f t="shared" si="23"/>
        <v>0</v>
      </c>
      <c r="F46" s="126">
        <f t="shared" si="20"/>
        <v>24441.893999999997</v>
      </c>
      <c r="G46" s="190">
        <v>0</v>
      </c>
      <c r="H46" s="190">
        <v>0</v>
      </c>
      <c r="I46" s="126">
        <f>C46/10</f>
        <v>2444.1893999999998</v>
      </c>
      <c r="J46" s="126">
        <f>I46</f>
        <v>2444.1893999999998</v>
      </c>
      <c r="K46" s="126">
        <f t="shared" si="24"/>
        <v>2444.1893999999998</v>
      </c>
      <c r="L46" s="126">
        <f t="shared" si="24"/>
        <v>2444.1893999999998</v>
      </c>
      <c r="M46" s="126">
        <f t="shared" si="24"/>
        <v>2444.1893999999998</v>
      </c>
      <c r="N46" s="126">
        <f t="shared" si="24"/>
        <v>2444.1893999999998</v>
      </c>
      <c r="O46" s="126">
        <f t="shared" si="24"/>
        <v>2444.1893999999998</v>
      </c>
      <c r="P46" s="126">
        <f t="shared" si="24"/>
        <v>2444.1893999999998</v>
      </c>
      <c r="Q46" s="126">
        <f t="shared" si="24"/>
        <v>2444.1893999999998</v>
      </c>
      <c r="R46" s="126">
        <f t="shared" si="24"/>
        <v>2444.1893999999998</v>
      </c>
      <c r="S46" s="190">
        <v>0</v>
      </c>
      <c r="T46" s="190">
        <v>0</v>
      </c>
      <c r="U46" s="190">
        <v>0</v>
      </c>
      <c r="V46" s="124" t="str">
        <f t="shared" si="22"/>
        <v>2.5</v>
      </c>
      <c r="W46" s="133"/>
      <c r="X46" s="133"/>
    </row>
    <row r="47" spans="1:24" s="134" customFormat="1" ht="31.5" x14ac:dyDescent="0.25">
      <c r="A47" s="189" t="s">
        <v>713</v>
      </c>
      <c r="B47" s="132" t="str">
        <f t="shared" si="18"/>
        <v>заемные средства (тепловые сети от котельной №3)</v>
      </c>
      <c r="C47" s="190">
        <f t="shared" si="18"/>
        <v>10760.474999999999</v>
      </c>
      <c r="D47" s="190">
        <f t="shared" si="23"/>
        <v>0</v>
      </c>
      <c r="E47" s="190">
        <f t="shared" si="23"/>
        <v>10760.474999999999</v>
      </c>
      <c r="F47" s="126">
        <f t="shared" si="20"/>
        <v>10760.474999999997</v>
      </c>
      <c r="G47" s="190">
        <v>0</v>
      </c>
      <c r="H47" s="190">
        <v>0</v>
      </c>
      <c r="I47" s="126">
        <f>('№5 ИП-ТС'!C125+'№5 ИП-ТС'!C126+'№5 ИП-ТС'!C127)/10</f>
        <v>213.6464</v>
      </c>
      <c r="J47" s="126">
        <f t="shared" si="24"/>
        <v>213.6464</v>
      </c>
      <c r="K47" s="126">
        <f>C47/10</f>
        <v>1076.0474999999999</v>
      </c>
      <c r="L47" s="126">
        <f t="shared" si="24"/>
        <v>1076.0474999999999</v>
      </c>
      <c r="M47" s="126">
        <f t="shared" si="24"/>
        <v>1076.0474999999999</v>
      </c>
      <c r="N47" s="126">
        <f t="shared" si="24"/>
        <v>1076.0474999999999</v>
      </c>
      <c r="O47" s="126">
        <f t="shared" si="24"/>
        <v>1076.0474999999999</v>
      </c>
      <c r="P47" s="126">
        <f t="shared" si="24"/>
        <v>1076.0474999999999</v>
      </c>
      <c r="Q47" s="126">
        <f t="shared" si="24"/>
        <v>1076.0474999999999</v>
      </c>
      <c r="R47" s="126">
        <f t="shared" si="24"/>
        <v>1076.0474999999999</v>
      </c>
      <c r="S47" s="126">
        <f>R47-I47</f>
        <v>862.40109999999993</v>
      </c>
      <c r="T47" s="126">
        <f t="shared" ref="T47" si="33">S47</f>
        <v>862.40109999999993</v>
      </c>
      <c r="U47" s="190">
        <v>0</v>
      </c>
      <c r="V47" s="124" t="str">
        <f t="shared" si="22"/>
        <v>2.6</v>
      </c>
      <c r="W47" s="133"/>
      <c r="X47" s="133"/>
    </row>
    <row r="48" spans="1:24" s="134" customFormat="1" ht="15.75" x14ac:dyDescent="0.25">
      <c r="A48" s="189" t="s">
        <v>714</v>
      </c>
      <c r="B48" s="132" t="str">
        <f t="shared" si="18"/>
        <v>заемные средства (котельная №4)</v>
      </c>
      <c r="C48" s="190">
        <f t="shared" si="18"/>
        <v>1643.864</v>
      </c>
      <c r="D48" s="190">
        <f t="shared" si="23"/>
        <v>1643.864</v>
      </c>
      <c r="E48" s="190">
        <f t="shared" si="23"/>
        <v>0</v>
      </c>
      <c r="F48" s="126">
        <f t="shared" si="20"/>
        <v>1643.8640000000003</v>
      </c>
      <c r="G48" s="190">
        <v>0</v>
      </c>
      <c r="H48" s="190">
        <v>0</v>
      </c>
      <c r="I48" s="126">
        <f>C48/10</f>
        <v>164.38640000000001</v>
      </c>
      <c r="J48" s="126">
        <f>I48</f>
        <v>164.38640000000001</v>
      </c>
      <c r="K48" s="126">
        <f t="shared" si="24"/>
        <v>164.38640000000001</v>
      </c>
      <c r="L48" s="126">
        <f t="shared" si="24"/>
        <v>164.38640000000001</v>
      </c>
      <c r="M48" s="126">
        <f t="shared" si="24"/>
        <v>164.38640000000001</v>
      </c>
      <c r="N48" s="126">
        <f t="shared" si="24"/>
        <v>164.38640000000001</v>
      </c>
      <c r="O48" s="126">
        <f t="shared" si="24"/>
        <v>164.38640000000001</v>
      </c>
      <c r="P48" s="126">
        <f t="shared" si="24"/>
        <v>164.38640000000001</v>
      </c>
      <c r="Q48" s="126">
        <f t="shared" si="24"/>
        <v>164.38640000000001</v>
      </c>
      <c r="R48" s="126">
        <f t="shared" si="24"/>
        <v>164.38640000000001</v>
      </c>
      <c r="S48" s="190">
        <v>0</v>
      </c>
      <c r="T48" s="190">
        <v>0</v>
      </c>
      <c r="U48" s="190">
        <v>0</v>
      </c>
      <c r="V48" s="124" t="str">
        <f t="shared" si="22"/>
        <v>2.7</v>
      </c>
      <c r="W48" s="133"/>
      <c r="X48" s="133"/>
    </row>
    <row r="49" spans="1:26" s="134" customFormat="1" ht="31.5" x14ac:dyDescent="0.25">
      <c r="A49" s="189" t="s">
        <v>715</v>
      </c>
      <c r="B49" s="132" t="str">
        <f t="shared" si="18"/>
        <v>заемные средства (тепловые сети от котельной №4)</v>
      </c>
      <c r="C49" s="190">
        <f t="shared" si="18"/>
        <v>1697.1223333333332</v>
      </c>
      <c r="D49" s="190">
        <f t="shared" si="23"/>
        <v>0</v>
      </c>
      <c r="E49" s="190">
        <f t="shared" si="23"/>
        <v>1697.1223333333332</v>
      </c>
      <c r="F49" s="126">
        <f t="shared" si="20"/>
        <v>1697.1223333333335</v>
      </c>
      <c r="G49" s="190">
        <v>0</v>
      </c>
      <c r="H49" s="190">
        <v>0</v>
      </c>
      <c r="I49" s="126">
        <f>'№5 ИП-ТС'!C133/10</f>
        <v>91.089399999999998</v>
      </c>
      <c r="J49" s="126">
        <f t="shared" ref="J49" si="34">I49</f>
        <v>91.089399999999998</v>
      </c>
      <c r="K49" s="126">
        <f>C49/10</f>
        <v>169.71223333333333</v>
      </c>
      <c r="L49" s="126">
        <f t="shared" ref="L49" si="35">K49</f>
        <v>169.71223333333333</v>
      </c>
      <c r="M49" s="126">
        <f t="shared" ref="M49" si="36">L49</f>
        <v>169.71223333333333</v>
      </c>
      <c r="N49" s="126">
        <f t="shared" ref="N49" si="37">M49</f>
        <v>169.71223333333333</v>
      </c>
      <c r="O49" s="126">
        <f t="shared" ref="O49" si="38">N49</f>
        <v>169.71223333333333</v>
      </c>
      <c r="P49" s="126">
        <f t="shared" ref="P49" si="39">O49</f>
        <v>169.71223333333333</v>
      </c>
      <c r="Q49" s="126">
        <f t="shared" ref="Q49" si="40">P49</f>
        <v>169.71223333333333</v>
      </c>
      <c r="R49" s="126">
        <f t="shared" ref="R49" si="41">Q49</f>
        <v>169.71223333333333</v>
      </c>
      <c r="S49" s="126">
        <f>R49-I49</f>
        <v>78.622833333333332</v>
      </c>
      <c r="T49" s="126">
        <f t="shared" ref="T49" si="42">S49</f>
        <v>78.622833333333332</v>
      </c>
      <c r="U49" s="190">
        <v>0</v>
      </c>
      <c r="V49" s="124" t="str">
        <f t="shared" si="22"/>
        <v>2.9</v>
      </c>
      <c r="W49" s="133"/>
      <c r="X49" s="133"/>
    </row>
    <row r="50" spans="1:26" ht="31.5" x14ac:dyDescent="0.25">
      <c r="A50" s="135" t="s">
        <v>243</v>
      </c>
      <c r="B50" s="132" t="s">
        <v>258</v>
      </c>
      <c r="C50" s="126">
        <f>D50+E50</f>
        <v>0</v>
      </c>
      <c r="D50" s="126">
        <v>0</v>
      </c>
      <c r="E50" s="126">
        <v>0</v>
      </c>
      <c r="F50" s="126">
        <f>SUM(G50:U50)</f>
        <v>0</v>
      </c>
      <c r="G50" s="126">
        <v>0</v>
      </c>
      <c r="H50" s="126">
        <v>0</v>
      </c>
      <c r="I50" s="126">
        <v>0</v>
      </c>
      <c r="J50" s="126">
        <v>0</v>
      </c>
      <c r="K50" s="126">
        <v>0</v>
      </c>
      <c r="L50" s="126">
        <v>0</v>
      </c>
      <c r="M50" s="126">
        <v>0</v>
      </c>
      <c r="N50" s="126">
        <v>0</v>
      </c>
      <c r="O50" s="126">
        <v>0</v>
      </c>
      <c r="P50" s="126">
        <v>0</v>
      </c>
      <c r="Q50" s="126">
        <v>0</v>
      </c>
      <c r="R50" s="126">
        <v>0</v>
      </c>
      <c r="S50" s="126">
        <v>0</v>
      </c>
      <c r="T50" s="126">
        <v>0</v>
      </c>
      <c r="U50" s="126">
        <v>0</v>
      </c>
      <c r="V50" s="126"/>
    </row>
    <row r="51" spans="1:26" ht="31.5" x14ac:dyDescent="0.25">
      <c r="A51" s="135" t="s">
        <v>244</v>
      </c>
      <c r="B51" s="132" t="s">
        <v>254</v>
      </c>
      <c r="C51" s="126">
        <f>SUM(G51:U51)</f>
        <v>0</v>
      </c>
      <c r="D51" s="126">
        <v>0</v>
      </c>
      <c r="E51" s="126">
        <f>SUM(G51:U51)</f>
        <v>0</v>
      </c>
      <c r="F51" s="126">
        <f>SUM(G51:U51)</f>
        <v>0</v>
      </c>
      <c r="G51" s="126">
        <v>0</v>
      </c>
      <c r="H51" s="126">
        <v>0</v>
      </c>
      <c r="I51" s="126">
        <v>0</v>
      </c>
      <c r="J51" s="126">
        <v>0</v>
      </c>
      <c r="K51" s="126">
        <v>0</v>
      </c>
      <c r="L51" s="126">
        <v>0</v>
      </c>
      <c r="M51" s="126">
        <v>0</v>
      </c>
      <c r="N51" s="126">
        <v>0</v>
      </c>
      <c r="O51" s="126">
        <v>0</v>
      </c>
      <c r="P51" s="126">
        <v>0</v>
      </c>
      <c r="Q51" s="126">
        <v>0</v>
      </c>
      <c r="R51" s="126">
        <v>0</v>
      </c>
      <c r="S51" s="126">
        <v>0</v>
      </c>
      <c r="T51" s="126">
        <v>0</v>
      </c>
      <c r="U51" s="126">
        <v>0</v>
      </c>
      <c r="V51" s="126"/>
      <c r="W51" s="138"/>
      <c r="X51" s="138"/>
      <c r="Y51" s="137"/>
      <c r="Z51" s="137"/>
    </row>
    <row r="52" spans="1:26" ht="31.5" x14ac:dyDescent="0.25">
      <c r="A52" s="135" t="s">
        <v>249</v>
      </c>
      <c r="B52" s="132" t="s">
        <v>255</v>
      </c>
      <c r="C52" s="126">
        <f>SUM(G52:U52)</f>
        <v>0</v>
      </c>
      <c r="D52" s="126">
        <v>0</v>
      </c>
      <c r="E52" s="126">
        <f>SUM(G52:U52)</f>
        <v>0</v>
      </c>
      <c r="F52" s="126">
        <f>SUM(G52:U52)</f>
        <v>0</v>
      </c>
      <c r="G52" s="126">
        <v>0</v>
      </c>
      <c r="H52" s="126">
        <v>0</v>
      </c>
      <c r="I52" s="126">
        <v>0</v>
      </c>
      <c r="J52" s="126">
        <v>0</v>
      </c>
      <c r="K52" s="126">
        <v>0</v>
      </c>
      <c r="L52" s="126">
        <v>0</v>
      </c>
      <c r="M52" s="126">
        <v>0</v>
      </c>
      <c r="N52" s="126">
        <v>0</v>
      </c>
      <c r="O52" s="126">
        <v>0</v>
      </c>
      <c r="P52" s="126">
        <v>0</v>
      </c>
      <c r="Q52" s="126">
        <v>0</v>
      </c>
      <c r="R52" s="126">
        <v>0</v>
      </c>
      <c r="S52" s="126">
        <v>0</v>
      </c>
      <c r="T52" s="126">
        <v>0</v>
      </c>
      <c r="U52" s="126">
        <v>0</v>
      </c>
      <c r="V52" s="126"/>
      <c r="W52" s="138"/>
      <c r="X52" s="138"/>
      <c r="Y52" s="137"/>
      <c r="Z52" s="137"/>
    </row>
    <row r="53" spans="1:26" ht="15.75" x14ac:dyDescent="0.25">
      <c r="A53" s="128" t="s">
        <v>180</v>
      </c>
      <c r="B53" s="129" t="s">
        <v>256</v>
      </c>
      <c r="C53" s="130">
        <f>SUM(C54:C56)</f>
        <v>25000</v>
      </c>
      <c r="D53" s="130">
        <f t="shared" ref="D53:U53" si="43">SUM(D54:D56)</f>
        <v>25000</v>
      </c>
      <c r="E53" s="130">
        <f t="shared" si="43"/>
        <v>0</v>
      </c>
      <c r="F53" s="130">
        <f t="shared" si="43"/>
        <v>25000</v>
      </c>
      <c r="G53" s="130">
        <f t="shared" si="43"/>
        <v>0</v>
      </c>
      <c r="H53" s="130">
        <f t="shared" si="43"/>
        <v>0</v>
      </c>
      <c r="I53" s="130">
        <f t="shared" si="43"/>
        <v>25000</v>
      </c>
      <c r="J53" s="130">
        <f t="shared" si="43"/>
        <v>0</v>
      </c>
      <c r="K53" s="130">
        <f t="shared" si="43"/>
        <v>0</v>
      </c>
      <c r="L53" s="130">
        <f t="shared" si="43"/>
        <v>0</v>
      </c>
      <c r="M53" s="130">
        <f t="shared" si="43"/>
        <v>0</v>
      </c>
      <c r="N53" s="130">
        <f t="shared" si="43"/>
        <v>0</v>
      </c>
      <c r="O53" s="130">
        <f t="shared" si="43"/>
        <v>0</v>
      </c>
      <c r="P53" s="130">
        <f t="shared" si="43"/>
        <v>0</v>
      </c>
      <c r="Q53" s="130">
        <f t="shared" si="43"/>
        <v>0</v>
      </c>
      <c r="R53" s="130">
        <f t="shared" si="43"/>
        <v>0</v>
      </c>
      <c r="S53" s="130">
        <f t="shared" si="43"/>
        <v>0</v>
      </c>
      <c r="T53" s="130">
        <f t="shared" si="43"/>
        <v>0</v>
      </c>
      <c r="U53" s="130">
        <f t="shared" si="43"/>
        <v>0</v>
      </c>
      <c r="V53" s="130"/>
      <c r="W53" s="138"/>
      <c r="X53" s="138"/>
      <c r="Y53" s="137"/>
      <c r="Z53" s="137"/>
    </row>
    <row r="54" spans="1:26" ht="58.5" customHeight="1" x14ac:dyDescent="0.25">
      <c r="A54" s="189" t="s">
        <v>26</v>
      </c>
      <c r="B54" s="129" t="str">
        <f>B34</f>
        <v>бюджетные источники (Котельная №1   по адресу:п. Верхний Ландех, ул. Новая 1а)</v>
      </c>
      <c r="C54" s="129">
        <f>C34</f>
        <v>11256.286</v>
      </c>
      <c r="D54" s="129">
        <f>D34</f>
        <v>11256.286</v>
      </c>
      <c r="E54" s="190">
        <v>0</v>
      </c>
      <c r="F54" s="126">
        <f t="shared" ref="F54:F56" si="44">SUM(G54:U54)</f>
        <v>11256.286</v>
      </c>
      <c r="G54" s="190">
        <v>0</v>
      </c>
      <c r="H54" s="190">
        <v>0</v>
      </c>
      <c r="I54" s="130">
        <f>C54</f>
        <v>11256.286</v>
      </c>
      <c r="J54" s="190">
        <v>0</v>
      </c>
      <c r="K54" s="190">
        <v>0</v>
      </c>
      <c r="L54" s="190">
        <v>0</v>
      </c>
      <c r="M54" s="190">
        <v>0</v>
      </c>
      <c r="N54" s="190">
        <v>0</v>
      </c>
      <c r="O54" s="190">
        <v>0</v>
      </c>
      <c r="P54" s="190">
        <v>0</v>
      </c>
      <c r="Q54" s="190">
        <v>0</v>
      </c>
      <c r="R54" s="190">
        <v>0</v>
      </c>
      <c r="S54" s="190">
        <v>0</v>
      </c>
      <c r="T54" s="190">
        <v>0</v>
      </c>
      <c r="U54" s="190">
        <v>0</v>
      </c>
      <c r="V54" s="130"/>
      <c r="W54" s="138"/>
      <c r="X54" s="138"/>
      <c r="Y54" s="137"/>
      <c r="Z54" s="137"/>
    </row>
    <row r="55" spans="1:26" ht="47.25" x14ac:dyDescent="0.25">
      <c r="A55" s="189" t="s">
        <v>126</v>
      </c>
      <c r="B55" s="129" t="str">
        <f t="shared" ref="B55:D56" si="45">B35</f>
        <v>бюджетные источники (Котельная №2  по адресу: п. Верхний Ландех, ул. Октябрьская)</v>
      </c>
      <c r="C55" s="129">
        <f t="shared" si="45"/>
        <v>6871.857</v>
      </c>
      <c r="D55" s="129">
        <f t="shared" si="45"/>
        <v>6871.857</v>
      </c>
      <c r="E55" s="190">
        <v>0</v>
      </c>
      <c r="F55" s="126">
        <f t="shared" si="44"/>
        <v>6871.857</v>
      </c>
      <c r="G55" s="190">
        <v>0</v>
      </c>
      <c r="H55" s="190">
        <v>0</v>
      </c>
      <c r="I55" s="130">
        <f t="shared" ref="I55:I56" si="46">C55</f>
        <v>6871.857</v>
      </c>
      <c r="J55" s="190">
        <v>0</v>
      </c>
      <c r="K55" s="190">
        <v>0</v>
      </c>
      <c r="L55" s="190">
        <v>0</v>
      </c>
      <c r="M55" s="190">
        <v>0</v>
      </c>
      <c r="N55" s="190">
        <v>0</v>
      </c>
      <c r="O55" s="190">
        <v>0</v>
      </c>
      <c r="P55" s="190">
        <v>0</v>
      </c>
      <c r="Q55" s="190">
        <v>0</v>
      </c>
      <c r="R55" s="190">
        <v>0</v>
      </c>
      <c r="S55" s="190">
        <v>0</v>
      </c>
      <c r="T55" s="190">
        <v>0</v>
      </c>
      <c r="U55" s="190">
        <v>0</v>
      </c>
      <c r="V55" s="130"/>
      <c r="W55" s="138"/>
      <c r="X55" s="138"/>
      <c r="Y55" s="137"/>
      <c r="Z55" s="137"/>
    </row>
    <row r="56" spans="1:26" ht="47.25" x14ac:dyDescent="0.25">
      <c r="A56" s="189" t="s">
        <v>435</v>
      </c>
      <c r="B56" s="129" t="str">
        <f t="shared" si="45"/>
        <v>бюджетные источники (Котельная №4   по адресу: п. Верхний Ландех, пер. Школьный)</v>
      </c>
      <c r="C56" s="129">
        <f t="shared" si="45"/>
        <v>6871.857</v>
      </c>
      <c r="D56" s="129">
        <f t="shared" si="45"/>
        <v>6871.857</v>
      </c>
      <c r="E56" s="190">
        <v>0</v>
      </c>
      <c r="F56" s="126">
        <f t="shared" si="44"/>
        <v>6871.857</v>
      </c>
      <c r="G56" s="190">
        <v>0</v>
      </c>
      <c r="H56" s="190">
        <v>0</v>
      </c>
      <c r="I56" s="130">
        <f t="shared" si="46"/>
        <v>6871.857</v>
      </c>
      <c r="J56" s="190">
        <v>0</v>
      </c>
      <c r="K56" s="190">
        <v>0</v>
      </c>
      <c r="L56" s="190">
        <v>0</v>
      </c>
      <c r="M56" s="190">
        <v>0</v>
      </c>
      <c r="N56" s="190">
        <v>0</v>
      </c>
      <c r="O56" s="190">
        <v>0</v>
      </c>
      <c r="P56" s="190">
        <v>0</v>
      </c>
      <c r="Q56" s="190">
        <v>0</v>
      </c>
      <c r="R56" s="190">
        <v>0</v>
      </c>
      <c r="S56" s="190">
        <v>0</v>
      </c>
      <c r="T56" s="190">
        <v>0</v>
      </c>
      <c r="U56" s="190">
        <v>0</v>
      </c>
      <c r="V56" s="130"/>
      <c r="W56" s="138"/>
      <c r="X56" s="138"/>
      <c r="Y56" s="137"/>
      <c r="Z56" s="137"/>
    </row>
    <row r="57" spans="1:26" ht="15.75" x14ac:dyDescent="0.25">
      <c r="A57" s="128" t="s">
        <v>181</v>
      </c>
      <c r="B57" s="129" t="s">
        <v>257</v>
      </c>
      <c r="C57" s="130">
        <f>SUM(G57:U57)</f>
        <v>0</v>
      </c>
      <c r="D57" s="130">
        <v>0</v>
      </c>
      <c r="E57" s="130">
        <f>SUM(G57:U57)</f>
        <v>0</v>
      </c>
      <c r="F57" s="130">
        <v>0</v>
      </c>
      <c r="G57" s="130">
        <v>0</v>
      </c>
      <c r="H57" s="130">
        <v>0</v>
      </c>
      <c r="I57" s="130">
        <v>0</v>
      </c>
      <c r="J57" s="130">
        <v>0</v>
      </c>
      <c r="K57" s="130">
        <v>0</v>
      </c>
      <c r="L57" s="130">
        <v>0</v>
      </c>
      <c r="M57" s="130">
        <v>0</v>
      </c>
      <c r="N57" s="130">
        <v>0</v>
      </c>
      <c r="O57" s="130">
        <v>0</v>
      </c>
      <c r="P57" s="130">
        <v>0</v>
      </c>
      <c r="Q57" s="130">
        <v>0</v>
      </c>
      <c r="R57" s="130">
        <v>0</v>
      </c>
      <c r="S57" s="130">
        <v>0</v>
      </c>
      <c r="T57" s="130">
        <v>0</v>
      </c>
      <c r="U57" s="130">
        <v>0</v>
      </c>
      <c r="V57" s="130"/>
      <c r="W57" s="138"/>
      <c r="X57" s="138"/>
      <c r="Y57" s="137"/>
      <c r="Z57" s="137"/>
    </row>
    <row r="58" spans="1:26" ht="15.75" x14ac:dyDescent="0.25">
      <c r="A58" s="135"/>
      <c r="B58" s="129" t="s">
        <v>149</v>
      </c>
      <c r="C58" s="130">
        <f>SUM(G58:U58)</f>
        <v>95995.746333333358</v>
      </c>
      <c r="D58" s="130">
        <f>D40+D53+D57</f>
        <v>70552.034</v>
      </c>
      <c r="E58" s="130">
        <f>E40+E53+E57</f>
        <v>25443.712333333329</v>
      </c>
      <c r="F58" s="130">
        <f>SUM(G58:U58)</f>
        <v>95995.746333333358</v>
      </c>
      <c r="G58" s="130">
        <f t="shared" ref="G58:U58" si="47">G40+G53+G57</f>
        <v>0</v>
      </c>
      <c r="H58" s="130">
        <f t="shared" si="47"/>
        <v>0</v>
      </c>
      <c r="I58" s="130">
        <f t="shared" si="47"/>
        <v>29967.190299999998</v>
      </c>
      <c r="J58" s="130">
        <f t="shared" si="47"/>
        <v>6158.5506999999998</v>
      </c>
      <c r="K58" s="130">
        <f t="shared" si="47"/>
        <v>7099.5746333333336</v>
      </c>
      <c r="L58" s="130">
        <f t="shared" si="47"/>
        <v>7099.5746333333336</v>
      </c>
      <c r="M58" s="130">
        <f t="shared" si="47"/>
        <v>7099.5746333333336</v>
      </c>
      <c r="N58" s="130">
        <f t="shared" si="47"/>
        <v>7099.5746333333336</v>
      </c>
      <c r="O58" s="130">
        <f t="shared" si="47"/>
        <v>7099.5746333333336</v>
      </c>
      <c r="P58" s="130">
        <f t="shared" si="47"/>
        <v>7099.5746333333336</v>
      </c>
      <c r="Q58" s="130">
        <f t="shared" si="47"/>
        <v>7099.5746333333336</v>
      </c>
      <c r="R58" s="130">
        <f t="shared" si="47"/>
        <v>7099.5746333333336</v>
      </c>
      <c r="S58" s="130">
        <f t="shared" si="47"/>
        <v>2132.3843333333334</v>
      </c>
      <c r="T58" s="130">
        <f t="shared" si="47"/>
        <v>941.02393333333328</v>
      </c>
      <c r="U58" s="130">
        <f t="shared" si="47"/>
        <v>0</v>
      </c>
      <c r="V58" s="130"/>
      <c r="W58" s="138"/>
      <c r="X58" s="138"/>
      <c r="Y58" s="137"/>
      <c r="Z58" s="137"/>
    </row>
    <row r="59" spans="1:26" x14ac:dyDescent="0.25">
      <c r="V59" s="138"/>
      <c r="W59" s="138"/>
      <c r="X59" s="138"/>
      <c r="Y59" s="137"/>
      <c r="Z59" s="137"/>
    </row>
    <row r="60" spans="1:26" s="1" customFormat="1" ht="15.75" x14ac:dyDescent="0.25">
      <c r="A60" s="407" t="s">
        <v>160</v>
      </c>
      <c r="B60" s="407"/>
      <c r="C60" s="477"/>
      <c r="D60" s="477"/>
      <c r="E60" s="477"/>
      <c r="F60" s="477"/>
      <c r="G60" s="478"/>
      <c r="H60" s="478"/>
      <c r="I60" s="478"/>
      <c r="J60" s="478"/>
      <c r="K60" s="478"/>
      <c r="L60" s="478"/>
      <c r="M60" s="478"/>
    </row>
    <row r="61" spans="1:26" s="1" customFormat="1" ht="15.75" customHeight="1" x14ac:dyDescent="0.25">
      <c r="A61" s="1" t="s">
        <v>52</v>
      </c>
    </row>
    <row r="62" spans="1:26" x14ac:dyDescent="0.25">
      <c r="V62" s="138"/>
      <c r="W62" s="138"/>
      <c r="X62" s="138"/>
      <c r="Y62" s="137"/>
      <c r="Z62" s="137"/>
    </row>
    <row r="63" spans="1:26" x14ac:dyDescent="0.25">
      <c r="V63" s="138"/>
      <c r="W63" s="138"/>
      <c r="X63" s="138"/>
      <c r="Y63" s="137"/>
      <c r="Z63" s="137"/>
    </row>
    <row r="64" spans="1:26" x14ac:dyDescent="0.25">
      <c r="C64" s="277">
        <f>C42+C43+C54</f>
        <v>39722.396999999997</v>
      </c>
      <c r="D64" s="278">
        <f>C24+C34</f>
        <v>29078.698999999997</v>
      </c>
    </row>
    <row r="65" spans="3:21" x14ac:dyDescent="0.25">
      <c r="C65" s="277">
        <f>C44+C45+C55</f>
        <v>10858.136999999999</v>
      </c>
      <c r="D65" s="277">
        <f>C44+C55</f>
        <v>8515.7199999999993</v>
      </c>
    </row>
    <row r="66" spans="3:21" x14ac:dyDescent="0.25">
      <c r="C66" s="277">
        <f>C46+C47</f>
        <v>35202.368999999992</v>
      </c>
      <c r="D66" s="277">
        <f>C46</f>
        <v>24441.893999999997</v>
      </c>
    </row>
    <row r="67" spans="3:21" x14ac:dyDescent="0.25">
      <c r="C67" s="277">
        <f>C48+C49+C56</f>
        <v>10212.843333333334</v>
      </c>
      <c r="D67" s="277">
        <f>C48+C56</f>
        <v>8515.7209999999995</v>
      </c>
    </row>
    <row r="68" spans="3:21" x14ac:dyDescent="0.25">
      <c r="C68" s="277">
        <f>SUM(C64:C67)</f>
        <v>95995.746333333329</v>
      </c>
      <c r="D68" s="278">
        <f>SUM(D64:D67)</f>
        <v>70552.034</v>
      </c>
    </row>
    <row r="70" spans="3:21" x14ac:dyDescent="0.25"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</row>
    <row r="71" spans="3:21" x14ac:dyDescent="0.25"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</row>
    <row r="72" spans="3:21" x14ac:dyDescent="0.25"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</row>
    <row r="73" spans="3:21" x14ac:dyDescent="0.25"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</row>
    <row r="74" spans="3:21" x14ac:dyDescent="0.25"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</row>
    <row r="75" spans="3:21" x14ac:dyDescent="0.25"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</row>
    <row r="76" spans="3:21" x14ac:dyDescent="0.25"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</row>
    <row r="77" spans="3:21" x14ac:dyDescent="0.25"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</row>
    <row r="78" spans="3:21" x14ac:dyDescent="0.25"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</row>
    <row r="79" spans="3:21" x14ac:dyDescent="0.25"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</row>
    <row r="80" spans="3:21" x14ac:dyDescent="0.25"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</row>
    <row r="81" spans="6:21" x14ac:dyDescent="0.25"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</row>
    <row r="82" spans="6:21" x14ac:dyDescent="0.25"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</row>
    <row r="83" spans="6:21" x14ac:dyDescent="0.25"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</row>
    <row r="84" spans="6:21" x14ac:dyDescent="0.25"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</row>
    <row r="85" spans="6:21" x14ac:dyDescent="0.25"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</row>
    <row r="86" spans="6:21" x14ac:dyDescent="0.25"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</row>
    <row r="87" spans="6:21" x14ac:dyDescent="0.25"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</row>
    <row r="88" spans="6:21" x14ac:dyDescent="0.25"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</row>
    <row r="89" spans="6:21" x14ac:dyDescent="0.25"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</row>
    <row r="91" spans="6:21" x14ac:dyDescent="0.25"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</row>
    <row r="93" spans="6:21" x14ac:dyDescent="0.25"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</row>
    <row r="94" spans="6:21" x14ac:dyDescent="0.25"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</row>
    <row r="95" spans="6:21" x14ac:dyDescent="0.25"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</row>
    <row r="96" spans="6:21" x14ac:dyDescent="0.25"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</row>
    <row r="97" spans="6:21" x14ac:dyDescent="0.25"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</row>
    <row r="98" spans="6:21" x14ac:dyDescent="0.25"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</row>
    <row r="99" spans="6:21" x14ac:dyDescent="0.25"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</row>
    <row r="100" spans="6:21" x14ac:dyDescent="0.25"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</row>
    <row r="101" spans="6:21" x14ac:dyDescent="0.25"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</row>
    <row r="102" spans="6:21" x14ac:dyDescent="0.25"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</row>
    <row r="103" spans="6:21" x14ac:dyDescent="0.25"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</row>
    <row r="104" spans="6:21" x14ac:dyDescent="0.25"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</row>
    <row r="105" spans="6:21" x14ac:dyDescent="0.25"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</row>
    <row r="106" spans="6:21" x14ac:dyDescent="0.25">
      <c r="F106" s="139"/>
      <c r="G106" s="139"/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</row>
    <row r="108" spans="6:21" x14ac:dyDescent="0.25"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</row>
    <row r="109" spans="6:21" x14ac:dyDescent="0.25"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</row>
    <row r="110" spans="6:21" x14ac:dyDescent="0.25"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</row>
  </sheetData>
  <mergeCells count="29">
    <mergeCell ref="A60:M60"/>
    <mergeCell ref="R8:R9"/>
    <mergeCell ref="S8:S9"/>
    <mergeCell ref="T8:T9"/>
    <mergeCell ref="U8:U9"/>
    <mergeCell ref="A11:V11"/>
    <mergeCell ref="A39:V39"/>
    <mergeCell ref="L8:L9"/>
    <mergeCell ref="M8:M9"/>
    <mergeCell ref="N8:N9"/>
    <mergeCell ref="O8:O9"/>
    <mergeCell ref="P8:P9"/>
    <mergeCell ref="Q8:Q9"/>
    <mergeCell ref="F8:F9"/>
    <mergeCell ref="G8:G9"/>
    <mergeCell ref="H8:H9"/>
    <mergeCell ref="I8:I9"/>
    <mergeCell ref="J8:J9"/>
    <mergeCell ref="K8:K9"/>
    <mergeCell ref="I2:U2"/>
    <mergeCell ref="A3:V3"/>
    <mergeCell ref="A4:V4"/>
    <mergeCell ref="A5:V5"/>
    <mergeCell ref="A7:A9"/>
    <mergeCell ref="B7:B9"/>
    <mergeCell ref="C7:U7"/>
    <mergeCell ref="V7:V9"/>
    <mergeCell ref="C8:C9"/>
    <mergeCell ref="D8:E8"/>
  </mergeCells>
  <pageMargins left="0.11811023622047245" right="0.11811023622047245" top="0.74803149606299213" bottom="0.74803149606299213" header="0.31496062992125984" footer="0.31496062992125984"/>
  <pageSetup paperSize="9" scale="45" fitToHeight="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7</vt:i4>
      </vt:variant>
    </vt:vector>
  </HeadingPairs>
  <TitlesOfParts>
    <vt:vector size="24" baseType="lpstr">
      <vt:lpstr>ам мо</vt:lpstr>
      <vt:lpstr>проценты</vt:lpstr>
      <vt:lpstr>Лист4</vt:lpstr>
      <vt:lpstr>№1 ИП-ТС</vt:lpstr>
      <vt:lpstr>№2 ИП ТС</vt:lpstr>
      <vt:lpstr>№3 ИП-ТС</vt:lpstr>
      <vt:lpstr>№ 4 ИП ТС</vt:lpstr>
      <vt:lpstr>№5 ИП-ТС</vt:lpstr>
      <vt:lpstr>Лист5</vt:lpstr>
      <vt:lpstr>сети мат хар</vt:lpstr>
      <vt:lpstr>Лист1</vt:lpstr>
      <vt:lpstr>Лист3</vt:lpstr>
      <vt:lpstr>Лист2</vt:lpstr>
      <vt:lpstr>% 1 кот</vt:lpstr>
      <vt:lpstr>% 2 кот</vt:lpstr>
      <vt:lpstr>% 3 кот</vt:lpstr>
      <vt:lpstr>% 4 кот </vt:lpstr>
      <vt:lpstr>'№ 4 ИП ТС'!Заголовки_для_печати</vt:lpstr>
      <vt:lpstr>'№2 ИП ТС'!Заголовки_для_печати</vt:lpstr>
      <vt:lpstr>'№5 ИП-ТС'!Заголовки_для_печати</vt:lpstr>
      <vt:lpstr>'№ 4 ИП ТС'!Область_печати</vt:lpstr>
      <vt:lpstr>'№1 ИП-ТС'!Область_печати</vt:lpstr>
      <vt:lpstr>'№3 ИП-ТС'!Область_печати</vt:lpstr>
      <vt:lpstr>'№5 ИП-ТС'!Область_печати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Бондарева Г.В.</cp:lastModifiedBy>
  <cp:lastPrinted>2024-12-17T13:19:24Z</cp:lastPrinted>
  <dcterms:created xsi:type="dcterms:W3CDTF">2024-11-15T11:57:21Z</dcterms:created>
  <dcterms:modified xsi:type="dcterms:W3CDTF">2024-12-18T11:15:22Z</dcterms:modified>
</cp:coreProperties>
</file>